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kdpsk1-my.sharepoint.com/personal/tajomnik_skdp_sk/Documents/Dokumenty/orgány/prezidium/2025/2025_03_10/"/>
    </mc:Choice>
  </mc:AlternateContent>
  <xr:revisionPtr revIDLastSave="0" documentId="8_{7C4C5604-37DC-4445-8F1A-0899EF094F15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Finančný plán" sheetId="7" r:id="rId1"/>
    <sheet name="FP vzdelávanie" sheetId="10" r:id="rId2"/>
    <sheet name=" výsledovky 17-22-24" sheetId="9" r:id="rId3"/>
    <sheet name="2015 -  2016" sheetId="4" r:id="rId4"/>
    <sheet name="2015 sumarizácia plánu " sheetId="2" state="hidden" r:id="rId5"/>
  </sheets>
  <definedNames>
    <definedName name="_xlnm._FilterDatabase" localSheetId="2" hidden="1">' výsledovky 17-22-24'!$A$1:$AQ$247</definedName>
    <definedName name="_xlnm._FilterDatabase" localSheetId="3" hidden="1">'2015 -  2016'!$A$5:$Z$70</definedName>
    <definedName name="_xlnm._FilterDatabase" localSheetId="0" hidden="1">'Finančný plán'!$B$1:$AA$91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3" i="7" l="1"/>
  <c r="Z73" i="7"/>
  <c r="AA80" i="7"/>
  <c r="AA79" i="7"/>
  <c r="AA78" i="7"/>
  <c r="Z78" i="7"/>
  <c r="Z91" i="7"/>
  <c r="AA91" i="7"/>
  <c r="V22" i="7"/>
  <c r="V20" i="7"/>
  <c r="AK251" i="9"/>
  <c r="X90" i="7"/>
  <c r="F98" i="10"/>
  <c r="W43" i="7"/>
  <c r="W52" i="7"/>
  <c r="W42" i="7"/>
  <c r="W27" i="7"/>
  <c r="W25" i="7"/>
  <c r="W26" i="7" l="1"/>
  <c r="F108" i="10"/>
  <c r="H99" i="10" l="1"/>
  <c r="G99" i="10"/>
  <c r="G103" i="10" s="1"/>
  <c r="W33" i="7" s="1"/>
  <c r="H98" i="10"/>
  <c r="H103" i="10" s="1"/>
  <c r="W37" i="7" s="1"/>
  <c r="E98" i="10"/>
  <c r="F109" i="10"/>
  <c r="W32" i="7" s="1"/>
  <c r="E108" i="10"/>
  <c r="H108" i="10" s="1"/>
  <c r="E107" i="10"/>
  <c r="E109" i="10" s="1"/>
  <c r="H102" i="10"/>
  <c r="F102" i="10"/>
  <c r="E102" i="10"/>
  <c r="I102" i="10" s="1"/>
  <c r="H101" i="10"/>
  <c r="F101" i="10"/>
  <c r="E101" i="10"/>
  <c r="I101" i="10" s="1"/>
  <c r="F100" i="10"/>
  <c r="E100" i="10"/>
  <c r="I100" i="10" s="1"/>
  <c r="F99" i="10"/>
  <c r="E99" i="10"/>
  <c r="I99" i="10" s="1"/>
  <c r="X73" i="7"/>
  <c r="X72" i="7"/>
  <c r="X71" i="7"/>
  <c r="W70" i="7"/>
  <c r="W85" i="7" s="1"/>
  <c r="X66" i="7"/>
  <c r="X65" i="7"/>
  <c r="X64" i="7"/>
  <c r="X60" i="7"/>
  <c r="X59" i="7"/>
  <c r="W58" i="7"/>
  <c r="X53" i="7"/>
  <c r="X52" i="7"/>
  <c r="W51" i="7"/>
  <c r="W45" i="7" s="1"/>
  <c r="W84" i="7" s="1"/>
  <c r="X48" i="7"/>
  <c r="X47" i="7"/>
  <c r="W46" i="7"/>
  <c r="X43" i="7"/>
  <c r="X42" i="7"/>
  <c r="W41" i="7"/>
  <c r="X39" i="7"/>
  <c r="X38" i="7"/>
  <c r="X37" i="7"/>
  <c r="X36" i="7"/>
  <c r="X35" i="7"/>
  <c r="X34" i="7"/>
  <c r="X33" i="7"/>
  <c r="X32" i="7"/>
  <c r="X31" i="7"/>
  <c r="X27" i="7"/>
  <c r="X26" i="7"/>
  <c r="X25" i="7"/>
  <c r="W24" i="7"/>
  <c r="X23" i="7"/>
  <c r="X21" i="7"/>
  <c r="X19" i="7"/>
  <c r="X17" i="7"/>
  <c r="W17" i="7"/>
  <c r="X16" i="7"/>
  <c r="X15" i="7"/>
  <c r="X14" i="7"/>
  <c r="X13" i="7"/>
  <c r="X12" i="7"/>
  <c r="X11" i="7"/>
  <c r="X10" i="7"/>
  <c r="X9" i="7"/>
  <c r="AA50" i="7"/>
  <c r="AA40" i="7"/>
  <c r="AA20" i="7"/>
  <c r="AA22" i="7"/>
  <c r="V73" i="7"/>
  <c r="V72" i="7"/>
  <c r="V71" i="7"/>
  <c r="V66" i="7"/>
  <c r="V65" i="7"/>
  <c r="AA65" i="7" s="1"/>
  <c r="V64" i="7"/>
  <c r="V60" i="7"/>
  <c r="V59" i="7"/>
  <c r="V53" i="7"/>
  <c r="V52" i="7"/>
  <c r="V48" i="7"/>
  <c r="AA48" i="7" s="1"/>
  <c r="V47" i="7"/>
  <c r="V43" i="7"/>
  <c r="AA43" i="7" s="1"/>
  <c r="V42" i="7"/>
  <c r="V39" i="7"/>
  <c r="AA39" i="7" s="1"/>
  <c r="V38" i="7"/>
  <c r="AA38" i="7" s="1"/>
  <c r="V37" i="7"/>
  <c r="V36" i="7"/>
  <c r="AA36" i="7" s="1"/>
  <c r="V35" i="7"/>
  <c r="AA35" i="7" s="1"/>
  <c r="V34" i="7"/>
  <c r="V33" i="7"/>
  <c r="V32" i="7"/>
  <c r="V31" i="7"/>
  <c r="V27" i="7"/>
  <c r="V26" i="7"/>
  <c r="V25" i="7"/>
  <c r="V23" i="7"/>
  <c r="V21" i="7"/>
  <c r="V19" i="7"/>
  <c r="AA19" i="7" s="1"/>
  <c r="V17" i="7"/>
  <c r="V16" i="7"/>
  <c r="AA16" i="7" s="1"/>
  <c r="V15" i="7"/>
  <c r="V14" i="7"/>
  <c r="V13" i="7"/>
  <c r="AA13" i="7" s="1"/>
  <c r="V12" i="7"/>
  <c r="V11" i="7"/>
  <c r="AA11" i="7" s="1"/>
  <c r="V10" i="7"/>
  <c r="V9" i="7"/>
  <c r="AA9" i="7" s="1"/>
  <c r="AK249" i="9"/>
  <c r="U42" i="7"/>
  <c r="F93" i="10"/>
  <c r="F94" i="10" s="1"/>
  <c r="E93" i="10"/>
  <c r="H93" i="10" s="1"/>
  <c r="E92" i="10"/>
  <c r="H92" i="10" s="1"/>
  <c r="H87" i="10"/>
  <c r="F87" i="10"/>
  <c r="E87" i="10"/>
  <c r="H86" i="10"/>
  <c r="F86" i="10"/>
  <c r="E86" i="10"/>
  <c r="F85" i="10"/>
  <c r="I85" i="10" s="1"/>
  <c r="E85" i="10"/>
  <c r="H84" i="10"/>
  <c r="F84" i="10"/>
  <c r="E84" i="10"/>
  <c r="H83" i="10"/>
  <c r="G83" i="10"/>
  <c r="G88" i="10" s="1"/>
  <c r="F83" i="10"/>
  <c r="E83" i="10"/>
  <c r="I83" i="10" s="1"/>
  <c r="H82" i="10"/>
  <c r="F82" i="10"/>
  <c r="E82" i="10"/>
  <c r="U27" i="7"/>
  <c r="U25" i="7"/>
  <c r="AK253" i="9" l="1"/>
  <c r="V90" i="7" s="1"/>
  <c r="X46" i="7"/>
  <c r="X41" i="7"/>
  <c r="X24" i="7"/>
  <c r="X51" i="7"/>
  <c r="X8" i="7"/>
  <c r="X61" i="7"/>
  <c r="X58" i="7" s="1"/>
  <c r="X79" i="7" s="1"/>
  <c r="V51" i="7"/>
  <c r="X68" i="7"/>
  <c r="X63" i="7" s="1"/>
  <c r="X82" i="7" s="1"/>
  <c r="X30" i="7"/>
  <c r="X29" i="7" s="1"/>
  <c r="X81" i="7" s="1"/>
  <c r="I98" i="10"/>
  <c r="I103" i="10" s="1"/>
  <c r="H94" i="10"/>
  <c r="U32" i="7" s="1"/>
  <c r="AA32" i="7" s="1"/>
  <c r="I82" i="10"/>
  <c r="U33" i="7"/>
  <c r="AA33" i="7" s="1"/>
  <c r="I86" i="10"/>
  <c r="E103" i="10"/>
  <c r="W64" i="7" s="1"/>
  <c r="F103" i="10"/>
  <c r="W34" i="7" s="1"/>
  <c r="H107" i="10"/>
  <c r="H109" i="10" s="1"/>
  <c r="W66" i="7" s="1"/>
  <c r="W86" i="7"/>
  <c r="X74" i="7"/>
  <c r="X70" i="7" s="1"/>
  <c r="W79" i="7"/>
  <c r="V61" i="7"/>
  <c r="AA61" i="7" s="1"/>
  <c r="AA25" i="7"/>
  <c r="AA27" i="7"/>
  <c r="V68" i="7"/>
  <c r="V63" i="7" s="1"/>
  <c r="V41" i="7"/>
  <c r="AA42" i="7"/>
  <c r="V30" i="7"/>
  <c r="AA31" i="7"/>
  <c r="V46" i="7"/>
  <c r="AA59" i="7"/>
  <c r="V24" i="7"/>
  <c r="V8" i="7"/>
  <c r="AA10" i="7"/>
  <c r="V74" i="7"/>
  <c r="V70" i="7" s="1"/>
  <c r="U66" i="7"/>
  <c r="AA66" i="7" s="1"/>
  <c r="E88" i="10"/>
  <c r="U64" i="7" s="1"/>
  <c r="AA64" i="7" s="1"/>
  <c r="I87" i="10"/>
  <c r="F88" i="10"/>
  <c r="U34" i="7" s="1"/>
  <c r="AA34" i="7" s="1"/>
  <c r="I84" i="10"/>
  <c r="I88" i="10" s="1"/>
  <c r="H88" i="10"/>
  <c r="E94" i="10"/>
  <c r="V29" i="7" l="1"/>
  <c r="V81" i="7" s="1"/>
  <c r="X7" i="7"/>
  <c r="X78" i="7" s="1"/>
  <c r="X80" i="7" s="1"/>
  <c r="V58" i="7"/>
  <c r="V79" i="7" s="1"/>
  <c r="AK255" i="9"/>
  <c r="X45" i="7"/>
  <c r="X84" i="7" s="1"/>
  <c r="X83" i="7"/>
  <c r="W63" i="7"/>
  <c r="W82" i="7" s="1"/>
  <c r="G104" i="10"/>
  <c r="W30" i="7"/>
  <c r="W29" i="7" s="1"/>
  <c r="U37" i="7"/>
  <c r="AA37" i="7" s="1"/>
  <c r="X85" i="7"/>
  <c r="X56" i="7"/>
  <c r="X88" i="7" s="1"/>
  <c r="V82" i="7"/>
  <c r="V45" i="7"/>
  <c r="V7" i="7"/>
  <c r="V85" i="7"/>
  <c r="G89" i="10"/>
  <c r="W56" i="7" l="1"/>
  <c r="W88" i="7" s="1"/>
  <c r="X86" i="7"/>
  <c r="X5" i="7"/>
  <c r="X87" i="7" s="1"/>
  <c r="V56" i="7"/>
  <c r="V88" i="7" s="1"/>
  <c r="X89" i="7"/>
  <c r="X91" i="7" s="1"/>
  <c r="W81" i="7"/>
  <c r="W83" i="7" s="1"/>
  <c r="V83" i="7"/>
  <c r="V84" i="7"/>
  <c r="V86" i="7" s="1"/>
  <c r="V5" i="7"/>
  <c r="V87" i="7" s="1"/>
  <c r="V78" i="7"/>
  <c r="Z40" i="7"/>
  <c r="Z22" i="7"/>
  <c r="Z20" i="7"/>
  <c r="Z18" i="7"/>
  <c r="U70" i="7"/>
  <c r="U63" i="7"/>
  <c r="U58" i="7"/>
  <c r="AA58" i="7" s="1"/>
  <c r="U52" i="7"/>
  <c r="U46" i="7"/>
  <c r="AA46" i="7" s="1"/>
  <c r="U41" i="7"/>
  <c r="AA41" i="7" s="1"/>
  <c r="U30" i="7"/>
  <c r="AA30" i="7" s="1"/>
  <c r="U26" i="7"/>
  <c r="AA26" i="7" s="1"/>
  <c r="U24" i="7"/>
  <c r="AA24" i="7" s="1"/>
  <c r="U17" i="7"/>
  <c r="AA17" i="7" s="1"/>
  <c r="V249" i="9"/>
  <c r="AI249" i="9"/>
  <c r="T90" i="7" s="1"/>
  <c r="T73" i="7"/>
  <c r="T72" i="7"/>
  <c r="T71" i="7"/>
  <c r="T66" i="7"/>
  <c r="T65" i="7"/>
  <c r="T64" i="7"/>
  <c r="T60" i="7"/>
  <c r="T59" i="7"/>
  <c r="T61" i="7" s="1"/>
  <c r="T53" i="7"/>
  <c r="T52" i="7"/>
  <c r="T48" i="7"/>
  <c r="Z48" i="7" s="1"/>
  <c r="T47" i="7"/>
  <c r="T43" i="7"/>
  <c r="T42" i="7"/>
  <c r="T39" i="7"/>
  <c r="Z39" i="7" s="1"/>
  <c r="T38" i="7"/>
  <c r="Z38" i="7" s="1"/>
  <c r="T37" i="7"/>
  <c r="T36" i="7"/>
  <c r="Z36" i="7" s="1"/>
  <c r="T35" i="7"/>
  <c r="Z35" i="7" s="1"/>
  <c r="T34" i="7"/>
  <c r="T33" i="7"/>
  <c r="T32" i="7"/>
  <c r="T31" i="7"/>
  <c r="Z31" i="7" s="1"/>
  <c r="T27" i="7"/>
  <c r="T26" i="7"/>
  <c r="T25" i="7"/>
  <c r="T23" i="7"/>
  <c r="Z23" i="7" s="1"/>
  <c r="T21" i="7"/>
  <c r="T19" i="7"/>
  <c r="Z19" i="7" s="1"/>
  <c r="T17" i="7"/>
  <c r="T16" i="7"/>
  <c r="Z16" i="7" s="1"/>
  <c r="T15" i="7"/>
  <c r="Z15" i="7" s="1"/>
  <c r="T14" i="7"/>
  <c r="U14" i="7" s="1"/>
  <c r="AA14" i="7" s="1"/>
  <c r="T13" i="7"/>
  <c r="Z13" i="7" s="1"/>
  <c r="T12" i="7"/>
  <c r="T11" i="7"/>
  <c r="Z11" i="7" s="1"/>
  <c r="T10" i="7"/>
  <c r="Z10" i="7" s="1"/>
  <c r="T9" i="7"/>
  <c r="Z9" i="7" s="1"/>
  <c r="R90" i="7"/>
  <c r="F70" i="10"/>
  <c r="F69" i="10"/>
  <c r="F67" i="10"/>
  <c r="F66" i="10"/>
  <c r="G67" i="10"/>
  <c r="G72" i="10" s="1"/>
  <c r="S33" i="7" s="1"/>
  <c r="F68" i="10"/>
  <c r="E70" i="10"/>
  <c r="E68" i="10"/>
  <c r="F77" i="10"/>
  <c r="F78" i="10" s="1"/>
  <c r="S32" i="7" s="1"/>
  <c r="E77" i="10"/>
  <c r="H77" i="10" s="1"/>
  <c r="E76" i="10"/>
  <c r="H71" i="10"/>
  <c r="F71" i="10"/>
  <c r="E71" i="10"/>
  <c r="H70" i="10"/>
  <c r="E69" i="10"/>
  <c r="H68" i="10"/>
  <c r="H67" i="10"/>
  <c r="E67" i="10"/>
  <c r="H66" i="10"/>
  <c r="E66" i="10"/>
  <c r="S42" i="7"/>
  <c r="S52" i="7"/>
  <c r="S25" i="7"/>
  <c r="Z59" i="7" l="1"/>
  <c r="Z25" i="7"/>
  <c r="U15" i="7"/>
  <c r="AA15" i="7" s="1"/>
  <c r="Z52" i="7"/>
  <c r="Z33" i="7"/>
  <c r="Z42" i="7"/>
  <c r="Z32" i="7"/>
  <c r="U23" i="7"/>
  <c r="AA23" i="7" s="1"/>
  <c r="U51" i="7"/>
  <c r="AA51" i="7" s="1"/>
  <c r="AA52" i="7"/>
  <c r="U82" i="7"/>
  <c r="AA82" i="7" s="1"/>
  <c r="AA63" i="7"/>
  <c r="U85" i="7"/>
  <c r="AA85" i="7" s="1"/>
  <c r="AA70" i="7"/>
  <c r="V80" i="7"/>
  <c r="V89" i="7" s="1"/>
  <c r="U29" i="7"/>
  <c r="U56" i="7"/>
  <c r="U79" i="7"/>
  <c r="T74" i="7"/>
  <c r="T70" i="7" s="1"/>
  <c r="T68" i="7"/>
  <c r="T63" i="7" s="1"/>
  <c r="T46" i="7"/>
  <c r="AI255" i="9"/>
  <c r="T51" i="7"/>
  <c r="T41" i="7"/>
  <c r="T30" i="7"/>
  <c r="T24" i="7"/>
  <c r="T8" i="7"/>
  <c r="T58" i="7"/>
  <c r="I68" i="10"/>
  <c r="E78" i="10"/>
  <c r="I69" i="10"/>
  <c r="F72" i="10"/>
  <c r="I67" i="10"/>
  <c r="I71" i="10"/>
  <c r="H72" i="10"/>
  <c r="S37" i="7" s="1"/>
  <c r="Z37" i="7" s="1"/>
  <c r="E72" i="10"/>
  <c r="S64" i="7" s="1"/>
  <c r="Z64" i="7" s="1"/>
  <c r="I70" i="10"/>
  <c r="H76" i="10"/>
  <c r="H78" i="10" s="1"/>
  <c r="S66" i="7" s="1"/>
  <c r="Z66" i="7" s="1"/>
  <c r="I66" i="10"/>
  <c r="S70" i="7"/>
  <c r="S85" i="7" s="1"/>
  <c r="S58" i="7"/>
  <c r="S79" i="7" s="1"/>
  <c r="S51" i="7"/>
  <c r="S46" i="7"/>
  <c r="S43" i="7"/>
  <c r="S41" i="7" s="1"/>
  <c r="S27" i="7"/>
  <c r="Z27" i="7" s="1"/>
  <c r="S26" i="7"/>
  <c r="Z26" i="7" s="1"/>
  <c r="S17" i="7"/>
  <c r="Z17" i="7" s="1"/>
  <c r="F67" i="7"/>
  <c r="F64" i="7"/>
  <c r="F42" i="7"/>
  <c r="F41" i="7" s="1"/>
  <c r="F34" i="7"/>
  <c r="F33" i="7"/>
  <c r="F70" i="7"/>
  <c r="F85" i="7" s="1"/>
  <c r="F58" i="7"/>
  <c r="F79" i="7" s="1"/>
  <c r="E51" i="7"/>
  <c r="F52" i="7"/>
  <c r="F51" i="7" s="1"/>
  <c r="F25" i="7"/>
  <c r="F26" i="7"/>
  <c r="F23" i="7"/>
  <c r="F12" i="7"/>
  <c r="Z41" i="7" l="1"/>
  <c r="Z43" i="7"/>
  <c r="F63" i="7"/>
  <c r="F82" i="7" s="1"/>
  <c r="T85" i="7"/>
  <c r="Z85" i="7" s="1"/>
  <c r="Z70" i="7"/>
  <c r="Z51" i="7"/>
  <c r="Z46" i="7"/>
  <c r="U81" i="7"/>
  <c r="AA29" i="7"/>
  <c r="Z58" i="7"/>
  <c r="U45" i="7"/>
  <c r="U84" i="7" s="1"/>
  <c r="U88" i="7"/>
  <c r="AA88" i="7" s="1"/>
  <c r="AA56" i="7"/>
  <c r="V91" i="7"/>
  <c r="T82" i="7"/>
  <c r="F40" i="7"/>
  <c r="F22" i="7"/>
  <c r="F8" i="7" s="1"/>
  <c r="S24" i="7"/>
  <c r="Z24" i="7" s="1"/>
  <c r="T29" i="7"/>
  <c r="T45" i="7"/>
  <c r="T7" i="7"/>
  <c r="T79" i="7"/>
  <c r="Z79" i="7" s="1"/>
  <c r="T56" i="7"/>
  <c r="G73" i="10"/>
  <c r="S34" i="7"/>
  <c r="Z34" i="7" s="1"/>
  <c r="I72" i="10"/>
  <c r="S45" i="7"/>
  <c r="S84" i="7" s="1"/>
  <c r="S86" i="7" s="1"/>
  <c r="F50" i="7"/>
  <c r="F46" i="7" s="1"/>
  <c r="F45" i="7" s="1"/>
  <c r="F84" i="7" s="1"/>
  <c r="F86" i="7" s="1"/>
  <c r="F30" i="7"/>
  <c r="F29" i="7" s="1"/>
  <c r="F81" i="7" s="1"/>
  <c r="F83" i="7" s="1"/>
  <c r="F24" i="7"/>
  <c r="AG249" i="9"/>
  <c r="AG255" i="9" s="1"/>
  <c r="H54" i="10"/>
  <c r="H51" i="10"/>
  <c r="H50" i="10"/>
  <c r="AA45" i="7" l="1"/>
  <c r="F56" i="7"/>
  <c r="F88" i="7" s="1"/>
  <c r="T84" i="7"/>
  <c r="Z45" i="7"/>
  <c r="U83" i="7"/>
  <c r="AA83" i="7" s="1"/>
  <c r="AA81" i="7"/>
  <c r="F7" i="7"/>
  <c r="F78" i="7" s="1"/>
  <c r="F80" i="7" s="1"/>
  <c r="F89" i="7" s="1"/>
  <c r="F91" i="7" s="1"/>
  <c r="U86" i="7"/>
  <c r="AA86" i="7" s="1"/>
  <c r="AA84" i="7"/>
  <c r="T81" i="7"/>
  <c r="T88" i="7"/>
  <c r="T78" i="7"/>
  <c r="T5" i="7"/>
  <c r="G56" i="10"/>
  <c r="Q33" i="7" s="1"/>
  <c r="F54" i="10"/>
  <c r="F53" i="10"/>
  <c r="F50" i="10"/>
  <c r="F51" i="10"/>
  <c r="H49" i="10"/>
  <c r="F49" i="10"/>
  <c r="P22" i="7"/>
  <c r="Q52" i="7"/>
  <c r="Q51" i="7" s="1"/>
  <c r="Q27" i="7"/>
  <c r="Q43" i="7"/>
  <c r="F61" i="10"/>
  <c r="F62" i="10" s="1"/>
  <c r="Q32" i="7" s="1"/>
  <c r="E61" i="10"/>
  <c r="E60" i="10"/>
  <c r="H55" i="10"/>
  <c r="F55" i="10"/>
  <c r="E55" i="10"/>
  <c r="E54" i="10"/>
  <c r="E53" i="10"/>
  <c r="H52" i="10"/>
  <c r="F52" i="10"/>
  <c r="E52" i="10"/>
  <c r="E51" i="10"/>
  <c r="E50" i="10"/>
  <c r="E49" i="10"/>
  <c r="Q17" i="7"/>
  <c r="Q26" i="7"/>
  <c r="Q25" i="7"/>
  <c r="R73" i="7"/>
  <c r="R72" i="7"/>
  <c r="R71" i="7"/>
  <c r="Q70" i="7"/>
  <c r="Q85" i="7" s="1"/>
  <c r="R66" i="7"/>
  <c r="R65" i="7"/>
  <c r="R64" i="7"/>
  <c r="R60" i="7"/>
  <c r="R59" i="7"/>
  <c r="Q58" i="7"/>
  <c r="Q79" i="7" s="1"/>
  <c r="R53" i="7"/>
  <c r="R52" i="7"/>
  <c r="R48" i="7"/>
  <c r="Q46" i="7"/>
  <c r="R47" i="7"/>
  <c r="R43" i="7"/>
  <c r="R42" i="7"/>
  <c r="Q42" i="7"/>
  <c r="R39" i="7"/>
  <c r="R38" i="7"/>
  <c r="R37" i="7"/>
  <c r="R36" i="7"/>
  <c r="R35" i="7"/>
  <c r="R34" i="7"/>
  <c r="R33" i="7"/>
  <c r="R32" i="7"/>
  <c r="R31" i="7"/>
  <c r="R27" i="7"/>
  <c r="R26" i="7"/>
  <c r="R25" i="7"/>
  <c r="R23" i="7"/>
  <c r="R21" i="7"/>
  <c r="R19" i="7"/>
  <c r="R17" i="7"/>
  <c r="R16" i="7"/>
  <c r="R15" i="7"/>
  <c r="R14" i="7"/>
  <c r="R13" i="7"/>
  <c r="R12" i="7"/>
  <c r="R11" i="7"/>
  <c r="R10" i="7"/>
  <c r="R9" i="7"/>
  <c r="E62" i="10" l="1"/>
  <c r="Q66" i="7" s="1"/>
  <c r="T80" i="7"/>
  <c r="T83" i="7"/>
  <c r="T86" i="7"/>
  <c r="Z86" i="7" s="1"/>
  <c r="Z84" i="7"/>
  <c r="F5" i="7"/>
  <c r="F87" i="7" s="1"/>
  <c r="T87" i="7"/>
  <c r="I52" i="10"/>
  <c r="Q41" i="7"/>
  <c r="R61" i="7"/>
  <c r="R68" i="7"/>
  <c r="R74" i="7"/>
  <c r="R51" i="7"/>
  <c r="R41" i="7"/>
  <c r="R46" i="7"/>
  <c r="R24" i="7"/>
  <c r="R8" i="7"/>
  <c r="F56" i="10"/>
  <c r="Q34" i="7" s="1"/>
  <c r="H56" i="10"/>
  <c r="I50" i="10"/>
  <c r="H61" i="10"/>
  <c r="I55" i="10"/>
  <c r="I54" i="10"/>
  <c r="I53" i="10"/>
  <c r="I51" i="10"/>
  <c r="Q45" i="7"/>
  <c r="Q84" i="7" s="1"/>
  <c r="Q86" i="7" s="1"/>
  <c r="R30" i="7"/>
  <c r="E56" i="10"/>
  <c r="Q64" i="7" s="1"/>
  <c r="Q63" i="7" s="1"/>
  <c r="Q82" i="7" s="1"/>
  <c r="H60" i="10"/>
  <c r="H62" i="10" s="1"/>
  <c r="I49" i="10"/>
  <c r="Q24" i="7"/>
  <c r="O38" i="7"/>
  <c r="O17" i="7"/>
  <c r="O59" i="7"/>
  <c r="T89" i="7" l="1"/>
  <c r="T91" i="7" s="1"/>
  <c r="G57" i="10"/>
  <c r="S63" i="7" s="1"/>
  <c r="I56" i="10"/>
  <c r="S30" i="7"/>
  <c r="Q37" i="7"/>
  <c r="R70" i="7"/>
  <c r="R58" i="7"/>
  <c r="R63" i="7"/>
  <c r="R45" i="7"/>
  <c r="R29" i="7"/>
  <c r="R7" i="7"/>
  <c r="Q56" i="7"/>
  <c r="Q88" i="7" s="1"/>
  <c r="F38" i="10"/>
  <c r="G38" i="10"/>
  <c r="F33" i="10"/>
  <c r="F36" i="10"/>
  <c r="F37" i="10"/>
  <c r="S29" i="7" l="1"/>
  <c r="Z29" i="7" s="1"/>
  <c r="Z30" i="7"/>
  <c r="S56" i="7"/>
  <c r="Z63" i="7"/>
  <c r="S82" i="7"/>
  <c r="Z82" i="7" s="1"/>
  <c r="Q30" i="7"/>
  <c r="R56" i="7"/>
  <c r="R79" i="7"/>
  <c r="R85" i="7"/>
  <c r="R82" i="7"/>
  <c r="R84" i="7"/>
  <c r="R81" i="7"/>
  <c r="R78" i="7"/>
  <c r="R5" i="7"/>
  <c r="G32" i="10"/>
  <c r="G34" i="10"/>
  <c r="G33" i="10"/>
  <c r="G37" i="10"/>
  <c r="P39" i="10"/>
  <c r="O39" i="10"/>
  <c r="N39" i="10"/>
  <c r="P38" i="10"/>
  <c r="O38" i="10"/>
  <c r="N38" i="10"/>
  <c r="P37" i="10"/>
  <c r="O37" i="10"/>
  <c r="N37" i="10"/>
  <c r="O36" i="10"/>
  <c r="N36" i="10"/>
  <c r="P35" i="10"/>
  <c r="O35" i="10"/>
  <c r="N35" i="10"/>
  <c r="O34" i="10"/>
  <c r="N34" i="10"/>
  <c r="P33" i="10"/>
  <c r="O33" i="10"/>
  <c r="N33" i="10"/>
  <c r="P32" i="10"/>
  <c r="O32" i="10"/>
  <c r="N32" i="10"/>
  <c r="P73" i="7"/>
  <c r="P72" i="7"/>
  <c r="P71" i="7"/>
  <c r="P66" i="7"/>
  <c r="P65" i="7"/>
  <c r="P64" i="7"/>
  <c r="P60" i="7"/>
  <c r="P59" i="7"/>
  <c r="P53" i="7"/>
  <c r="P52" i="7"/>
  <c r="P48" i="7"/>
  <c r="P47" i="7"/>
  <c r="P43" i="7"/>
  <c r="P42" i="7"/>
  <c r="P39" i="7"/>
  <c r="P38" i="7"/>
  <c r="P37" i="7"/>
  <c r="P36" i="7"/>
  <c r="P35" i="7"/>
  <c r="P34" i="7"/>
  <c r="P33" i="7"/>
  <c r="P32" i="7"/>
  <c r="P31" i="7"/>
  <c r="P27" i="7"/>
  <c r="P26" i="7"/>
  <c r="P25" i="7"/>
  <c r="P23" i="7"/>
  <c r="P21" i="7"/>
  <c r="P19" i="7"/>
  <c r="P17" i="7"/>
  <c r="P16" i="7"/>
  <c r="P15" i="7"/>
  <c r="P14" i="7"/>
  <c r="P13" i="7"/>
  <c r="P12" i="7"/>
  <c r="Q12" i="7" s="1"/>
  <c r="P11" i="7"/>
  <c r="P10" i="7"/>
  <c r="P9" i="7"/>
  <c r="AE249" i="9"/>
  <c r="AE255" i="9" s="1"/>
  <c r="N68" i="7"/>
  <c r="Q29" i="7" l="1"/>
  <c r="S81" i="7"/>
  <c r="Z81" i="7" s="1"/>
  <c r="S88" i="7"/>
  <c r="Z88" i="7" s="1"/>
  <c r="Z56" i="7"/>
  <c r="S12" i="7"/>
  <c r="R88" i="7"/>
  <c r="R80" i="7"/>
  <c r="R86" i="7"/>
  <c r="R83" i="7"/>
  <c r="R87" i="7"/>
  <c r="Q33" i="10"/>
  <c r="N40" i="10"/>
  <c r="Q36" i="10"/>
  <c r="Q38" i="10"/>
  <c r="Q37" i="10"/>
  <c r="Q32" i="10"/>
  <c r="O40" i="10"/>
  <c r="Q35" i="10"/>
  <c r="Q39" i="10"/>
  <c r="Q34" i="10"/>
  <c r="P74" i="7"/>
  <c r="P68" i="7"/>
  <c r="N61" i="7"/>
  <c r="P61" i="7"/>
  <c r="M15" i="7"/>
  <c r="S83" i="7" l="1"/>
  <c r="Z83" i="7" s="1"/>
  <c r="Q81" i="7"/>
  <c r="U12" i="7"/>
  <c r="W12" i="7" s="1"/>
  <c r="W8" i="7" s="1"/>
  <c r="W7" i="7" s="1"/>
  <c r="Z12" i="7"/>
  <c r="R89" i="7"/>
  <c r="Q40" i="10"/>
  <c r="F34" i="10"/>
  <c r="F44" i="10"/>
  <c r="F45" i="10" s="1"/>
  <c r="O32" i="7" s="1"/>
  <c r="E44" i="10"/>
  <c r="E43" i="10"/>
  <c r="G39" i="10"/>
  <c r="F39" i="10"/>
  <c r="E39" i="10"/>
  <c r="E38" i="10"/>
  <c r="E37" i="10"/>
  <c r="H37" i="10" s="1"/>
  <c r="E36" i="10"/>
  <c r="H36" i="10" s="1"/>
  <c r="G35" i="10"/>
  <c r="F35" i="10"/>
  <c r="E35" i="10"/>
  <c r="E34" i="10"/>
  <c r="E33" i="10"/>
  <c r="H33" i="10" s="1"/>
  <c r="F32" i="10"/>
  <c r="E32" i="10"/>
  <c r="N13" i="7"/>
  <c r="W78" i="7" l="1"/>
  <c r="W80" i="7" s="1"/>
  <c r="W89" i="7" s="1"/>
  <c r="W90" i="7" s="1"/>
  <c r="W91" i="7" s="1"/>
  <c r="W5" i="7"/>
  <c r="W87" i="7" s="1"/>
  <c r="R91" i="7"/>
  <c r="Q83" i="7"/>
  <c r="AA12" i="7"/>
  <c r="U8" i="7"/>
  <c r="H44" i="10"/>
  <c r="E45" i="10"/>
  <c r="O66" i="7" s="1"/>
  <c r="H35" i="10"/>
  <c r="H39" i="10"/>
  <c r="H38" i="10"/>
  <c r="G41" i="10"/>
  <c r="O37" i="7" s="1"/>
  <c r="F41" i="10"/>
  <c r="H34" i="10"/>
  <c r="E40" i="10"/>
  <c r="O64" i="7" s="1"/>
  <c r="F40" i="10"/>
  <c r="H32" i="10"/>
  <c r="H43" i="10"/>
  <c r="N59" i="7"/>
  <c r="N73" i="7"/>
  <c r="N72" i="7"/>
  <c r="N71" i="7"/>
  <c r="N66" i="7"/>
  <c r="N65" i="7"/>
  <c r="N64" i="7"/>
  <c r="N52" i="7"/>
  <c r="N48" i="7"/>
  <c r="N47" i="7"/>
  <c r="N43" i="7"/>
  <c r="N42" i="7"/>
  <c r="N39" i="7"/>
  <c r="N38" i="7"/>
  <c r="N37" i="7"/>
  <c r="N36" i="7"/>
  <c r="N35" i="7"/>
  <c r="N34" i="7"/>
  <c r="N33" i="7"/>
  <c r="N32" i="7"/>
  <c r="N31" i="7"/>
  <c r="N27" i="7"/>
  <c r="N26" i="7"/>
  <c r="N25" i="7"/>
  <c r="N23" i="7"/>
  <c r="N21" i="7"/>
  <c r="N19" i="7"/>
  <c r="N17" i="7"/>
  <c r="N16" i="7"/>
  <c r="N15" i="7"/>
  <c r="N14" i="7"/>
  <c r="N12" i="7"/>
  <c r="N11" i="7"/>
  <c r="N10" i="7"/>
  <c r="N9" i="7"/>
  <c r="M70" i="7"/>
  <c r="M85" i="7" s="1"/>
  <c r="N60" i="7"/>
  <c r="M58" i="7"/>
  <c r="M79" i="7" s="1"/>
  <c r="N53" i="7"/>
  <c r="M52" i="7"/>
  <c r="M51" i="7" s="1"/>
  <c r="M42" i="7"/>
  <c r="M41" i="7" s="1"/>
  <c r="M27" i="7"/>
  <c r="M26" i="7"/>
  <c r="M25" i="7"/>
  <c r="M20" i="7"/>
  <c r="U7" i="7" l="1"/>
  <c r="AA8" i="7"/>
  <c r="H45" i="10"/>
  <c r="M24" i="7"/>
  <c r="O34" i="7"/>
  <c r="N46" i="7"/>
  <c r="N30" i="7"/>
  <c r="N51" i="7"/>
  <c r="N8" i="7"/>
  <c r="H40" i="10"/>
  <c r="M30" i="7"/>
  <c r="M29" i="7" s="1"/>
  <c r="M81" i="7" s="1"/>
  <c r="N41" i="7"/>
  <c r="N24" i="7"/>
  <c r="M63" i="7"/>
  <c r="M82" i="7" s="1"/>
  <c r="N63" i="7"/>
  <c r="N58" i="7"/>
  <c r="N70" i="7"/>
  <c r="G22" i="10"/>
  <c r="F22" i="10"/>
  <c r="E22" i="10"/>
  <c r="G21" i="10"/>
  <c r="F21" i="10"/>
  <c r="E21" i="10"/>
  <c r="G20" i="10"/>
  <c r="F20" i="10"/>
  <c r="E20" i="10"/>
  <c r="F19" i="10"/>
  <c r="E19" i="10"/>
  <c r="G18" i="10"/>
  <c r="F18" i="10"/>
  <c r="E18" i="10"/>
  <c r="E17" i="10"/>
  <c r="H17" i="10" s="1"/>
  <c r="G16" i="10"/>
  <c r="F16" i="10"/>
  <c r="E16" i="10"/>
  <c r="G15" i="10"/>
  <c r="F15" i="10"/>
  <c r="E15" i="10"/>
  <c r="O70" i="7"/>
  <c r="O85" i="7" s="1"/>
  <c r="O63" i="7"/>
  <c r="O58" i="7"/>
  <c r="O79" i="7" s="1"/>
  <c r="O52" i="7"/>
  <c r="O42" i="7"/>
  <c r="O26" i="7"/>
  <c r="O25" i="7"/>
  <c r="O20" i="7"/>
  <c r="AA7" i="7" l="1"/>
  <c r="U5" i="7"/>
  <c r="U78" i="7"/>
  <c r="H18" i="10"/>
  <c r="H16" i="10"/>
  <c r="H15" i="10"/>
  <c r="H19" i="10"/>
  <c r="H22" i="10"/>
  <c r="O24" i="7"/>
  <c r="O51" i="7"/>
  <c r="O41" i="7"/>
  <c r="M83" i="7"/>
  <c r="H20" i="10"/>
  <c r="H21" i="10"/>
  <c r="N29" i="7"/>
  <c r="M56" i="7"/>
  <c r="M88" i="7" s="1"/>
  <c r="O30" i="7"/>
  <c r="N85" i="7"/>
  <c r="N82" i="7"/>
  <c r="N45" i="7"/>
  <c r="N7" i="7"/>
  <c r="N79" i="7"/>
  <c r="N56" i="7"/>
  <c r="O82" i="7"/>
  <c r="O56" i="7"/>
  <c r="O88" i="7" s="1"/>
  <c r="U80" i="7" l="1"/>
  <c r="U87" i="7"/>
  <c r="AA87" i="7" s="1"/>
  <c r="AA5" i="7"/>
  <c r="O29" i="7"/>
  <c r="N81" i="7"/>
  <c r="N88" i="7"/>
  <c r="N84" i="7"/>
  <c r="N78" i="7"/>
  <c r="N5" i="7"/>
  <c r="N87" i="7" s="1"/>
  <c r="U89" i="7" l="1"/>
  <c r="O81" i="7"/>
  <c r="N83" i="7"/>
  <c r="N80" i="7"/>
  <c r="N86" i="7"/>
  <c r="K49" i="7"/>
  <c r="AA89" i="7" l="1"/>
  <c r="U90" i="7"/>
  <c r="AA90" i="7" s="1"/>
  <c r="O83" i="7"/>
  <c r="N89" i="7"/>
  <c r="AC249" i="9"/>
  <c r="AA249" i="9"/>
  <c r="Y249" i="9"/>
  <c r="U91" i="7" l="1"/>
  <c r="N91" i="7"/>
  <c r="AC255" i="9"/>
  <c r="P24" i="7" l="1"/>
  <c r="P41" i="7"/>
  <c r="P51" i="7"/>
  <c r="L90" i="7"/>
  <c r="P58" i="7" l="1"/>
  <c r="P63" i="7"/>
  <c r="P30" i="7"/>
  <c r="P70" i="7"/>
  <c r="P46" i="7"/>
  <c r="P8" i="7"/>
  <c r="L39" i="7"/>
  <c r="P45" i="7" l="1"/>
  <c r="P84" i="7" s="1"/>
  <c r="P79" i="7"/>
  <c r="P56" i="7"/>
  <c r="P29" i="7"/>
  <c r="P82" i="7"/>
  <c r="P7" i="7"/>
  <c r="P85" i="7"/>
  <c r="L23" i="7"/>
  <c r="L14" i="7"/>
  <c r="P88" i="7" l="1"/>
  <c r="P5" i="7"/>
  <c r="P86" i="7"/>
  <c r="P78" i="7"/>
  <c r="P81" i="7"/>
  <c r="L48" i="7"/>
  <c r="L13" i="7"/>
  <c r="H33" i="9"/>
  <c r="P87" i="7" l="1"/>
  <c r="P83" i="7"/>
  <c r="P80" i="7"/>
  <c r="F27" i="10"/>
  <c r="E27" i="10"/>
  <c r="E26" i="10"/>
  <c r="H26" i="10" s="1"/>
  <c r="H27" i="10" l="1"/>
  <c r="H28" i="10" s="1"/>
  <c r="P89" i="7"/>
  <c r="F28" i="10"/>
  <c r="E28" i="10"/>
  <c r="P91" i="7" l="1"/>
  <c r="F24" i="10"/>
  <c r="E23" i="10"/>
  <c r="F23" i="10"/>
  <c r="G24" i="10"/>
  <c r="H23" i="10" l="1"/>
  <c r="L64" i="7" l="1"/>
  <c r="L42" i="7"/>
  <c r="L32" i="7"/>
  <c r="J32" i="7"/>
  <c r="L52" i="7"/>
  <c r="L53" i="7"/>
  <c r="L25" i="7"/>
  <c r="J25" i="7"/>
  <c r="L12" i="7"/>
  <c r="AA255" i="9"/>
  <c r="L66" i="7" l="1"/>
  <c r="J68" i="7"/>
  <c r="J66" i="7"/>
  <c r="J64" i="7"/>
  <c r="J61" i="7"/>
  <c r="J90" i="7"/>
  <c r="Y255" i="9"/>
  <c r="V255" i="9"/>
  <c r="F7" i="10" l="1"/>
  <c r="F4" i="10"/>
  <c r="F6" i="10"/>
  <c r="F8" i="10"/>
  <c r="G7" i="10"/>
  <c r="G9" i="10"/>
  <c r="F9" i="10"/>
  <c r="E9" i="10"/>
  <c r="G8" i="10"/>
  <c r="E8" i="10"/>
  <c r="E7" i="10"/>
  <c r="E6" i="10"/>
  <c r="G5" i="10"/>
  <c r="F5" i="10"/>
  <c r="E5" i="10"/>
  <c r="G4" i="10"/>
  <c r="E4" i="10"/>
  <c r="G3" i="10"/>
  <c r="F3" i="10"/>
  <c r="E3" i="10"/>
  <c r="H9" i="10" l="1"/>
  <c r="H6" i="10"/>
  <c r="E10" i="10"/>
  <c r="K64" i="7" s="1"/>
  <c r="H5" i="10"/>
  <c r="H7" i="10"/>
  <c r="H4" i="10"/>
  <c r="G11" i="10"/>
  <c r="K37" i="7" s="1"/>
  <c r="F11" i="10"/>
  <c r="H8" i="10"/>
  <c r="F10" i="10"/>
  <c r="H3" i="10"/>
  <c r="H10" i="10" l="1"/>
  <c r="K26" i="7" l="1"/>
  <c r="K30" i="7" l="1"/>
  <c r="K42" i="7"/>
  <c r="K27" i="7"/>
  <c r="K25" i="7"/>
  <c r="K20" i="7"/>
  <c r="K15" i="7"/>
  <c r="L73" i="7"/>
  <c r="L72" i="7"/>
  <c r="L71" i="7"/>
  <c r="K71" i="7"/>
  <c r="K70" i="7" s="1"/>
  <c r="K85" i="7" s="1"/>
  <c r="L65" i="7"/>
  <c r="K63" i="7"/>
  <c r="K82" i="7" s="1"/>
  <c r="L60" i="7"/>
  <c r="L59" i="7"/>
  <c r="K58" i="7"/>
  <c r="K79" i="7" s="1"/>
  <c r="K52" i="7"/>
  <c r="K51" i="7" s="1"/>
  <c r="L47" i="7"/>
  <c r="L43" i="7"/>
  <c r="K43" i="7"/>
  <c r="L38" i="7"/>
  <c r="L37" i="7"/>
  <c r="L36" i="7"/>
  <c r="L35" i="7"/>
  <c r="L34" i="7"/>
  <c r="L33" i="7"/>
  <c r="L31" i="7"/>
  <c r="L27" i="7"/>
  <c r="L26" i="7"/>
  <c r="L21" i="7"/>
  <c r="L19" i="7"/>
  <c r="L17" i="7"/>
  <c r="L16" i="7"/>
  <c r="L15" i="7"/>
  <c r="L11" i="7"/>
  <c r="L10" i="7"/>
  <c r="L9" i="7"/>
  <c r="L22" i="7" l="1"/>
  <c r="L40" i="7"/>
  <c r="L50" i="7"/>
  <c r="L51" i="7"/>
  <c r="L68" i="7"/>
  <c r="K24" i="7"/>
  <c r="K41" i="7"/>
  <c r="K29" i="7" s="1"/>
  <c r="K81" i="7" s="1"/>
  <c r="K83" i="7" s="1"/>
  <c r="L41" i="7"/>
  <c r="L74" i="7"/>
  <c r="L24" i="7"/>
  <c r="K56" i="7"/>
  <c r="K88" i="7" s="1"/>
  <c r="L61" i="7"/>
  <c r="J65" i="7"/>
  <c r="J60" i="7"/>
  <c r="J59" i="7"/>
  <c r="I52" i="7"/>
  <c r="I43" i="7"/>
  <c r="I42" i="7"/>
  <c r="I27" i="7"/>
  <c r="I25" i="7"/>
  <c r="I23" i="7"/>
  <c r="I21" i="7"/>
  <c r="I20" i="7"/>
  <c r="I19" i="7"/>
  <c r="I15" i="7"/>
  <c r="I14" i="7"/>
  <c r="I12" i="7"/>
  <c r="I10" i="7"/>
  <c r="K10" i="7" s="1"/>
  <c r="J73" i="7"/>
  <c r="J72" i="7"/>
  <c r="J71" i="7"/>
  <c r="J52" i="7"/>
  <c r="J49" i="7"/>
  <c r="J48" i="7"/>
  <c r="J47" i="7"/>
  <c r="J43" i="7"/>
  <c r="J42" i="7"/>
  <c r="J39" i="7"/>
  <c r="J38" i="7"/>
  <c r="J37" i="7"/>
  <c r="J36" i="7"/>
  <c r="J35" i="7"/>
  <c r="J34" i="7"/>
  <c r="J33" i="7"/>
  <c r="J31" i="7"/>
  <c r="J27" i="7"/>
  <c r="J26" i="7"/>
  <c r="J23" i="7"/>
  <c r="J21" i="7"/>
  <c r="J19" i="7"/>
  <c r="J17" i="7"/>
  <c r="J16" i="7"/>
  <c r="J15" i="7"/>
  <c r="J14" i="7"/>
  <c r="J13" i="7"/>
  <c r="J12" i="7"/>
  <c r="J11" i="7"/>
  <c r="J10" i="7"/>
  <c r="J9" i="7"/>
  <c r="H73" i="7"/>
  <c r="H72" i="7"/>
  <c r="H71" i="7"/>
  <c r="H65" i="7"/>
  <c r="H64" i="7"/>
  <c r="H60" i="7"/>
  <c r="H59" i="7"/>
  <c r="H52" i="7"/>
  <c r="H51" i="7" s="1"/>
  <c r="H49" i="7"/>
  <c r="H48" i="7"/>
  <c r="H47" i="7"/>
  <c r="H43" i="7"/>
  <c r="H42" i="7"/>
  <c r="H39" i="7"/>
  <c r="H38" i="7"/>
  <c r="H37" i="7"/>
  <c r="H36" i="7"/>
  <c r="H35" i="7"/>
  <c r="H34" i="7"/>
  <c r="H33" i="7"/>
  <c r="H31" i="7"/>
  <c r="H27" i="7"/>
  <c r="H26" i="7"/>
  <c r="H32" i="9"/>
  <c r="H25" i="7"/>
  <c r="H23" i="7"/>
  <c r="K23" i="7" s="1"/>
  <c r="H21" i="7"/>
  <c r="H19" i="7"/>
  <c r="H17" i="7"/>
  <c r="H16" i="7"/>
  <c r="H15" i="7"/>
  <c r="H14" i="7"/>
  <c r="H13" i="7"/>
  <c r="H12" i="7"/>
  <c r="H11" i="7"/>
  <c r="H10" i="7"/>
  <c r="H9" i="7"/>
  <c r="K12" i="7" l="1"/>
  <c r="O12" i="7" s="1"/>
  <c r="M12" i="7"/>
  <c r="K14" i="7"/>
  <c r="O14" i="7" s="1"/>
  <c r="S14" i="7" s="1"/>
  <c r="M14" i="7"/>
  <c r="Q14" i="7" s="1"/>
  <c r="J40" i="7"/>
  <c r="J30" i="7" s="1"/>
  <c r="L46" i="7"/>
  <c r="H22" i="7"/>
  <c r="H8" i="7" s="1"/>
  <c r="L30" i="7"/>
  <c r="J22" i="7"/>
  <c r="J8" i="7" s="1"/>
  <c r="L58" i="7"/>
  <c r="L70" i="7"/>
  <c r="L63" i="7"/>
  <c r="L8" i="7"/>
  <c r="J50" i="7"/>
  <c r="H24" i="7"/>
  <c r="H68" i="7"/>
  <c r="H41" i="7"/>
  <c r="H50" i="7"/>
  <c r="H46" i="7" s="1"/>
  <c r="H61" i="7"/>
  <c r="H74" i="7"/>
  <c r="H40" i="7"/>
  <c r="H30" i="7" s="1"/>
  <c r="J74" i="7"/>
  <c r="D61" i="7"/>
  <c r="S8" i="7" l="1"/>
  <c r="Z14" i="7"/>
  <c r="Q8" i="7"/>
  <c r="M8" i="7"/>
  <c r="O8" i="7"/>
  <c r="L82" i="7"/>
  <c r="L79" i="7"/>
  <c r="L29" i="7"/>
  <c r="L56" i="7"/>
  <c r="L85" i="7"/>
  <c r="L45" i="7"/>
  <c r="L7" i="7"/>
  <c r="H45" i="7"/>
  <c r="I71" i="7"/>
  <c r="S7" i="7" l="1"/>
  <c r="Z8" i="7"/>
  <c r="Q7" i="7"/>
  <c r="O7" i="7"/>
  <c r="M7" i="7"/>
  <c r="L5" i="7"/>
  <c r="L78" i="7"/>
  <c r="L81" i="7"/>
  <c r="L84" i="7"/>
  <c r="L88" i="7"/>
  <c r="E12" i="7"/>
  <c r="G36" i="7"/>
  <c r="D25" i="7"/>
  <c r="D40" i="7"/>
  <c r="D52" i="7"/>
  <c r="D42" i="7"/>
  <c r="E64" i="7"/>
  <c r="E74" i="7"/>
  <c r="E72" i="7"/>
  <c r="E71" i="7"/>
  <c r="D72" i="7"/>
  <c r="D64" i="7"/>
  <c r="D74" i="7"/>
  <c r="D71" i="7"/>
  <c r="D43" i="7"/>
  <c r="D53" i="7"/>
  <c r="D27" i="7"/>
  <c r="G70" i="4"/>
  <c r="F70" i="4"/>
  <c r="H70" i="4"/>
  <c r="Q11" i="4"/>
  <c r="E21" i="7" s="1"/>
  <c r="Q22" i="4"/>
  <c r="E49" i="7"/>
  <c r="D49" i="7"/>
  <c r="D18" i="7"/>
  <c r="E18" i="7"/>
  <c r="E48" i="7"/>
  <c r="D48" i="7"/>
  <c r="Q19" i="4"/>
  <c r="E47" i="7" s="1"/>
  <c r="Z7" i="7" l="1"/>
  <c r="S78" i="7"/>
  <c r="S5" i="7"/>
  <c r="Q5" i="7"/>
  <c r="Q78" i="7"/>
  <c r="O78" i="7"/>
  <c r="M78" i="7"/>
  <c r="L80" i="7"/>
  <c r="L87" i="7"/>
  <c r="L83" i="7"/>
  <c r="L86" i="7"/>
  <c r="D41" i="7"/>
  <c r="D51" i="7"/>
  <c r="G39" i="7"/>
  <c r="G43" i="7"/>
  <c r="G18" i="7"/>
  <c r="G38" i="7"/>
  <c r="G40" i="7"/>
  <c r="G31" i="7"/>
  <c r="I31" i="7" s="1"/>
  <c r="G67" i="7"/>
  <c r="G73" i="7"/>
  <c r="G72" i="7"/>
  <c r="G50" i="7"/>
  <c r="G49" i="7"/>
  <c r="I49" i="7" s="1"/>
  <c r="G48" i="7"/>
  <c r="I48" i="7" s="1"/>
  <c r="G47" i="7"/>
  <c r="J70" i="7"/>
  <c r="I70" i="7"/>
  <c r="I85" i="7" s="1"/>
  <c r="E70" i="7"/>
  <c r="E85" i="7" s="1"/>
  <c r="D70" i="7"/>
  <c r="D85" i="7" s="1"/>
  <c r="S80" i="7" l="1"/>
  <c r="S87" i="7"/>
  <c r="Z87" i="7" s="1"/>
  <c r="Z5" i="7"/>
  <c r="Q87" i="7"/>
  <c r="Q80" i="7"/>
  <c r="O80" i="7"/>
  <c r="K48" i="7"/>
  <c r="O48" i="7" s="1"/>
  <c r="M48" i="7"/>
  <c r="M80" i="7"/>
  <c r="J85" i="7"/>
  <c r="L89" i="7"/>
  <c r="G46" i="7"/>
  <c r="J58" i="7"/>
  <c r="I58" i="7"/>
  <c r="I79" i="7" s="1"/>
  <c r="G58" i="7"/>
  <c r="G79" i="7" s="1"/>
  <c r="E58" i="7"/>
  <c r="E79" i="7" s="1"/>
  <c r="D58" i="7"/>
  <c r="D79" i="7" s="1"/>
  <c r="J63" i="7"/>
  <c r="I63" i="7"/>
  <c r="I82" i="7" s="1"/>
  <c r="H63" i="7"/>
  <c r="E63" i="7"/>
  <c r="E82" i="7" s="1"/>
  <c r="D63" i="7"/>
  <c r="D82" i="7" s="1"/>
  <c r="G13" i="7"/>
  <c r="J51" i="7"/>
  <c r="I51" i="7"/>
  <c r="J46" i="7"/>
  <c r="I46" i="7"/>
  <c r="J41" i="7"/>
  <c r="I41" i="7"/>
  <c r="I30" i="7"/>
  <c r="J24" i="7"/>
  <c r="I24" i="7"/>
  <c r="S89" i="7" l="1"/>
  <c r="Z80" i="7"/>
  <c r="Q89" i="7"/>
  <c r="O46" i="7"/>
  <c r="M46" i="7"/>
  <c r="J82" i="7"/>
  <c r="J79" i="7"/>
  <c r="I13" i="7"/>
  <c r="K13" i="7" s="1"/>
  <c r="H82" i="7"/>
  <c r="I29" i="7"/>
  <c r="J29" i="7"/>
  <c r="I45" i="7"/>
  <c r="J45" i="7"/>
  <c r="H70" i="7"/>
  <c r="H58" i="7"/>
  <c r="H79" i="7" s="1"/>
  <c r="J56" i="7"/>
  <c r="E56" i="7"/>
  <c r="E88" i="7" s="1"/>
  <c r="D56" i="7"/>
  <c r="D88" i="7" s="1"/>
  <c r="I56" i="7"/>
  <c r="I88" i="7" s="1"/>
  <c r="J7" i="7"/>
  <c r="S49" i="4"/>
  <c r="S66" i="4"/>
  <c r="S90" i="7" l="1"/>
  <c r="Z89" i="7"/>
  <c r="Q90" i="7"/>
  <c r="O45" i="7"/>
  <c r="M45" i="7"/>
  <c r="J84" i="7"/>
  <c r="L91" i="7"/>
  <c r="J81" i="7"/>
  <c r="J88" i="7"/>
  <c r="K8" i="7"/>
  <c r="I8" i="7"/>
  <c r="I7" i="7" s="1"/>
  <c r="I78" i="7" s="1"/>
  <c r="I80" i="7" s="1"/>
  <c r="I84" i="7"/>
  <c r="I86" i="7" s="1"/>
  <c r="I81" i="7"/>
  <c r="I83" i="7" s="1"/>
  <c r="H7" i="7"/>
  <c r="H84" i="7"/>
  <c r="H85" i="7"/>
  <c r="J5" i="7"/>
  <c r="J78" i="7"/>
  <c r="W87" i="4"/>
  <c r="U32" i="4"/>
  <c r="U82" i="4"/>
  <c r="S91" i="7" l="1"/>
  <c r="Z90" i="7"/>
  <c r="Q91" i="7"/>
  <c r="O84" i="7"/>
  <c r="O5" i="7"/>
  <c r="M84" i="7"/>
  <c r="M5" i="7"/>
  <c r="J80" i="7"/>
  <c r="J87" i="7"/>
  <c r="J83" i="7"/>
  <c r="J86" i="7"/>
  <c r="K7" i="7"/>
  <c r="I5" i="7"/>
  <c r="I87" i="7" s="1"/>
  <c r="I89" i="7"/>
  <c r="H29" i="7"/>
  <c r="H5" i="7" s="1"/>
  <c r="U35" i="4"/>
  <c r="U34" i="4"/>
  <c r="O87" i="7" l="1"/>
  <c r="O86" i="7"/>
  <c r="M87" i="7"/>
  <c r="M86" i="7"/>
  <c r="J89" i="7"/>
  <c r="K78" i="7"/>
  <c r="I90" i="7"/>
  <c r="I91" i="7" s="1"/>
  <c r="H81" i="7"/>
  <c r="H83" i="7" s="1"/>
  <c r="H78" i="7"/>
  <c r="H80" i="7" s="1"/>
  <c r="H87" i="7"/>
  <c r="V74" i="4"/>
  <c r="V75" i="4"/>
  <c r="V76" i="4"/>
  <c r="V77" i="4"/>
  <c r="V78" i="4"/>
  <c r="V80" i="4"/>
  <c r="V85" i="4"/>
  <c r="V8" i="4"/>
  <c r="V9" i="4"/>
  <c r="V10" i="4"/>
  <c r="V11" i="4"/>
  <c r="V13" i="4"/>
  <c r="V14" i="4"/>
  <c r="V15" i="4"/>
  <c r="V16" i="4"/>
  <c r="V17" i="4"/>
  <c r="V18" i="4"/>
  <c r="V19" i="4"/>
  <c r="V20" i="4"/>
  <c r="V21" i="4"/>
  <c r="V22" i="4"/>
  <c r="V27" i="4"/>
  <c r="V31" i="4"/>
  <c r="V36" i="4"/>
  <c r="V39" i="4"/>
  <c r="V40" i="4"/>
  <c r="V41" i="4"/>
  <c r="V42" i="4"/>
  <c r="V43" i="4"/>
  <c r="V44" i="4"/>
  <c r="V45" i="4"/>
  <c r="V46" i="4"/>
  <c r="V47" i="4"/>
  <c r="V48" i="4"/>
  <c r="V54" i="4"/>
  <c r="V55" i="4"/>
  <c r="V57" i="4"/>
  <c r="V58" i="4"/>
  <c r="V59" i="4"/>
  <c r="V60" i="4"/>
  <c r="V61" i="4"/>
  <c r="V62" i="4"/>
  <c r="V63" i="4"/>
  <c r="V64" i="4"/>
  <c r="V65" i="4"/>
  <c r="V66" i="4"/>
  <c r="V67" i="4"/>
  <c r="O89" i="7" l="1"/>
  <c r="M89" i="7"/>
  <c r="J91" i="7"/>
  <c r="K80" i="7"/>
  <c r="V82" i="4"/>
  <c r="O90" i="7" l="1"/>
  <c r="M90" i="7"/>
  <c r="U81" i="4"/>
  <c r="V81" i="4" s="1"/>
  <c r="U84" i="4"/>
  <c r="O91" i="7" l="1"/>
  <c r="M91" i="7"/>
  <c r="V84" i="4"/>
  <c r="T73" i="4"/>
  <c r="G71" i="7" s="1"/>
  <c r="G70" i="7" s="1"/>
  <c r="S69" i="4"/>
  <c r="S68" i="4"/>
  <c r="V68" i="4" s="1"/>
  <c r="G85" i="7" l="1"/>
  <c r="V69" i="4"/>
  <c r="G22" i="7"/>
  <c r="V56" i="4"/>
  <c r="S50" i="4"/>
  <c r="U49" i="4"/>
  <c r="U53" i="4" s="1"/>
  <c r="G42" i="7" s="1"/>
  <c r="T49" i="4"/>
  <c r="V35" i="4"/>
  <c r="U30" i="4"/>
  <c r="V30" i="4" s="1"/>
  <c r="V34" i="4"/>
  <c r="U33" i="4"/>
  <c r="V32" i="4"/>
  <c r="U29" i="4"/>
  <c r="V29" i="4" s="1"/>
  <c r="U28" i="4"/>
  <c r="U25" i="4"/>
  <c r="V25" i="4" s="1"/>
  <c r="U26" i="4"/>
  <c r="V26" i="4" s="1"/>
  <c r="U24" i="4"/>
  <c r="V24" i="4" s="1"/>
  <c r="U23" i="4"/>
  <c r="G8" i="7" l="1"/>
  <c r="G41" i="7"/>
  <c r="V50" i="4"/>
  <c r="V33" i="4"/>
  <c r="G34" i="7"/>
  <c r="V23" i="4"/>
  <c r="G37" i="7"/>
  <c r="V28" i="4"/>
  <c r="G33" i="7"/>
  <c r="V49" i="4"/>
  <c r="U70" i="4"/>
  <c r="G29" i="7" s="1"/>
  <c r="T53" i="4"/>
  <c r="U83" i="4"/>
  <c r="U79" i="4"/>
  <c r="V79" i="4" s="1"/>
  <c r="G30" i="7" l="1"/>
  <c r="G81" i="7"/>
  <c r="V83" i="4"/>
  <c r="G64" i="7"/>
  <c r="G63" i="7" s="1"/>
  <c r="T70" i="4"/>
  <c r="G45" i="7" s="1"/>
  <c r="G52" i="7"/>
  <c r="U87" i="4"/>
  <c r="G51" i="7" l="1"/>
  <c r="G84" i="7"/>
  <c r="G86" i="7" s="1"/>
  <c r="G82" i="7"/>
  <c r="G83" i="7" s="1"/>
  <c r="G56" i="7"/>
  <c r="G88" i="7" s="1"/>
  <c r="S52" i="4"/>
  <c r="V52" i="4" s="1"/>
  <c r="V51" i="4"/>
  <c r="V7" i="4"/>
  <c r="S53" i="4" l="1"/>
  <c r="G25" i="7" s="1"/>
  <c r="G24" i="7" s="1"/>
  <c r="S89" i="4"/>
  <c r="U89" i="4"/>
  <c r="U90" i="4"/>
  <c r="T90" i="4"/>
  <c r="Q17" i="4"/>
  <c r="E11" i="7" s="1"/>
  <c r="N70" i="4"/>
  <c r="S70" i="4" l="1"/>
  <c r="G7" i="7" s="1"/>
  <c r="V53" i="4"/>
  <c r="U91" i="4"/>
  <c r="Q63" i="4"/>
  <c r="Q62" i="4"/>
  <c r="Q61" i="4"/>
  <c r="O87" i="4"/>
  <c r="O89" i="4" s="1"/>
  <c r="N87" i="4"/>
  <c r="N89" i="4" s="1"/>
  <c r="Q84" i="4"/>
  <c r="Q83" i="4"/>
  <c r="Q82" i="4"/>
  <c r="Q81" i="4"/>
  <c r="Q80" i="4"/>
  <c r="Q79" i="4"/>
  <c r="Q78" i="4"/>
  <c r="Q77" i="4"/>
  <c r="Q76" i="4"/>
  <c r="Q75" i="4"/>
  <c r="Q74" i="4"/>
  <c r="Q73" i="4"/>
  <c r="O70" i="4"/>
  <c r="M70" i="4"/>
  <c r="Q67" i="4"/>
  <c r="Q69" i="4"/>
  <c r="E50" i="7" s="1"/>
  <c r="E46" i="7" s="1"/>
  <c r="Q66" i="4"/>
  <c r="Q65" i="4"/>
  <c r="Q64" i="4"/>
  <c r="E19" i="7" s="1"/>
  <c r="Q60" i="4"/>
  <c r="E22" i="7" s="1"/>
  <c r="Q59" i="4"/>
  <c r="Q57" i="4"/>
  <c r="Q56" i="4"/>
  <c r="E43" i="7" s="1"/>
  <c r="Q55" i="4"/>
  <c r="E26" i="7" s="1"/>
  <c r="E24" i="7" s="1"/>
  <c r="Q50" i="4"/>
  <c r="Q45" i="4"/>
  <c r="Q43" i="4"/>
  <c r="E17" i="7" s="1"/>
  <c r="Q42" i="4"/>
  <c r="E15" i="7" s="1"/>
  <c r="Q41" i="4"/>
  <c r="E14" i="7" s="1"/>
  <c r="Q40" i="4"/>
  <c r="Q31" i="4"/>
  <c r="E36" i="7" s="1"/>
  <c r="Q28" i="4"/>
  <c r="E33" i="7" s="1"/>
  <c r="Q27" i="4"/>
  <c r="Q23" i="4"/>
  <c r="E37" i="7" s="1"/>
  <c r="Q16" i="4"/>
  <c r="E39" i="7" s="1"/>
  <c r="Q15" i="4"/>
  <c r="Q14" i="4"/>
  <c r="Q13" i="4"/>
  <c r="E34" i="7" s="1"/>
  <c r="Q9" i="4"/>
  <c r="E10" i="7" s="1"/>
  <c r="Q8" i="4"/>
  <c r="E9" i="7" s="1"/>
  <c r="Q7" i="4"/>
  <c r="E13" i="7" l="1"/>
  <c r="E42" i="7"/>
  <c r="E41" i="7" s="1"/>
  <c r="E23" i="7"/>
  <c r="E45" i="7"/>
  <c r="E84" i="7" s="1"/>
  <c r="E86" i="7" s="1"/>
  <c r="E38" i="7"/>
  <c r="Q70" i="4"/>
  <c r="Q90" i="4" s="1"/>
  <c r="G5" i="7"/>
  <c r="G78" i="7"/>
  <c r="G80" i="7" s="1"/>
  <c r="G89" i="7" s="1"/>
  <c r="G91" i="7" s="1"/>
  <c r="W70" i="4"/>
  <c r="T87" i="4"/>
  <c r="T89" i="4" s="1"/>
  <c r="T91" i="4" s="1"/>
  <c r="V73" i="4"/>
  <c r="V87" i="4" s="1"/>
  <c r="V89" i="4" s="1"/>
  <c r="O91" i="4"/>
  <c r="N91" i="4"/>
  <c r="M89" i="4"/>
  <c r="J84" i="4"/>
  <c r="J7" i="4"/>
  <c r="E30" i="7" l="1"/>
  <c r="E29" i="7" s="1"/>
  <c r="E81" i="7" s="1"/>
  <c r="E83" i="7" s="1"/>
  <c r="G87" i="7"/>
  <c r="E8" i="7"/>
  <c r="E7" i="7" s="1"/>
  <c r="V70" i="4"/>
  <c r="V90" i="4" s="1"/>
  <c r="S91" i="4"/>
  <c r="S90" i="4"/>
  <c r="W90" i="4"/>
  <c r="Q87" i="4"/>
  <c r="Q89" i="4" s="1"/>
  <c r="Q91" i="4" s="1"/>
  <c r="Q93" i="4" s="1"/>
  <c r="M91" i="4"/>
  <c r="J73" i="4"/>
  <c r="J74" i="4"/>
  <c r="J75" i="4"/>
  <c r="J76" i="4"/>
  <c r="J77" i="4"/>
  <c r="J78" i="4"/>
  <c r="J79" i="4"/>
  <c r="J80" i="4"/>
  <c r="J81" i="4"/>
  <c r="J82" i="4"/>
  <c r="J83" i="4"/>
  <c r="J88" i="4"/>
  <c r="J8" i="4"/>
  <c r="D9" i="7" s="1"/>
  <c r="J9" i="4"/>
  <c r="J11" i="4"/>
  <c r="D21" i="7" s="1"/>
  <c r="J13" i="4"/>
  <c r="D34" i="7" s="1"/>
  <c r="J14" i="4"/>
  <c r="J15" i="4"/>
  <c r="J16" i="4"/>
  <c r="J17" i="4"/>
  <c r="D11" i="7" s="1"/>
  <c r="J18" i="4"/>
  <c r="J19" i="4"/>
  <c r="D47" i="7" s="1"/>
  <c r="J21" i="4"/>
  <c r="J22" i="4"/>
  <c r="J23" i="4"/>
  <c r="D37" i="7" s="1"/>
  <c r="J27" i="4"/>
  <c r="J28" i="4"/>
  <c r="D33" i="7" s="1"/>
  <c r="J31" i="4"/>
  <c r="D36" i="7" s="1"/>
  <c r="J39" i="4"/>
  <c r="D12" i="7" s="1"/>
  <c r="J40" i="4"/>
  <c r="J41" i="4"/>
  <c r="D14" i="7" s="1"/>
  <c r="J42" i="4"/>
  <c r="D15" i="7" s="1"/>
  <c r="J43" i="4"/>
  <c r="D17" i="7" s="1"/>
  <c r="J45" i="4"/>
  <c r="J49" i="4"/>
  <c r="J53" i="4"/>
  <c r="J50" i="4"/>
  <c r="J54" i="4"/>
  <c r="J51" i="4"/>
  <c r="J55" i="4"/>
  <c r="J56" i="4"/>
  <c r="J57" i="4"/>
  <c r="J59" i="4"/>
  <c r="J60" i="4"/>
  <c r="J64" i="4"/>
  <c r="D19" i="7" s="1"/>
  <c r="J65" i="4"/>
  <c r="J66" i="4"/>
  <c r="J69" i="4"/>
  <c r="D50" i="7" s="1"/>
  <c r="J67" i="4"/>
  <c r="J6" i="4"/>
  <c r="F21" i="2"/>
  <c r="F17" i="2"/>
  <c r="K17" i="2" s="1"/>
  <c r="J20" i="2"/>
  <c r="I20" i="2"/>
  <c r="H20" i="2"/>
  <c r="F9" i="2"/>
  <c r="F12" i="2"/>
  <c r="K12" i="2" s="1"/>
  <c r="E20" i="2"/>
  <c r="D20" i="2"/>
  <c r="C20" i="2"/>
  <c r="H14" i="2"/>
  <c r="E14" i="2"/>
  <c r="D14" i="2"/>
  <c r="C14" i="2"/>
  <c r="K13" i="2"/>
  <c r="E78" i="7" l="1"/>
  <c r="E80" i="7" s="1"/>
  <c r="E89" i="7" s="1"/>
  <c r="D23" i="7"/>
  <c r="D13" i="7"/>
  <c r="D22" i="7"/>
  <c r="D26" i="7"/>
  <c r="D24" i="7" s="1"/>
  <c r="D46" i="7"/>
  <c r="D45" i="7" s="1"/>
  <c r="D84" i="7" s="1"/>
  <c r="D86" i="7" s="1"/>
  <c r="D10" i="7"/>
  <c r="E5" i="7"/>
  <c r="E87" i="7" s="1"/>
  <c r="J70" i="4"/>
  <c r="J90" i="4" s="1"/>
  <c r="D38" i="7"/>
  <c r="D39" i="7"/>
  <c r="V91" i="4"/>
  <c r="V92" i="4" s="1"/>
  <c r="F87" i="4"/>
  <c r="F89" i="4" s="1"/>
  <c r="H87" i="4"/>
  <c r="G87" i="4"/>
  <c r="G89" i="4" s="1"/>
  <c r="J87" i="4"/>
  <c r="J89" i="4" s="1"/>
  <c r="K14" i="2"/>
  <c r="F20" i="2"/>
  <c r="F14" i="2"/>
  <c r="K9" i="2"/>
  <c r="K20" i="2" s="1"/>
  <c r="K21" i="2" s="1"/>
  <c r="E91" i="7" l="1"/>
  <c r="D8" i="7"/>
  <c r="D7" i="7" s="1"/>
  <c r="D78" i="7" s="1"/>
  <c r="D30" i="7"/>
  <c r="D29" i="7" s="1"/>
  <c r="D81" i="7" s="1"/>
  <c r="D83" i="7" s="1"/>
  <c r="V93" i="4"/>
  <c r="H89" i="4"/>
  <c r="H91" i="4" s="1"/>
  <c r="K87" i="4"/>
  <c r="J91" i="4"/>
  <c r="J93" i="4" s="1"/>
  <c r="G91" i="4"/>
  <c r="F91" i="4"/>
  <c r="K70" i="4"/>
  <c r="D5" i="7" l="1"/>
  <c r="D80" i="7"/>
  <c r="D89" i="7" s="1"/>
  <c r="D91" i="7" s="1"/>
  <c r="K89" i="4"/>
  <c r="K91" i="4"/>
  <c r="D87" i="7" l="1"/>
  <c r="W89" i="4"/>
  <c r="W91" i="4" s="1"/>
  <c r="H86" i="7"/>
  <c r="H89" i="7" s="1"/>
  <c r="H91" i="7" l="1"/>
  <c r="H56" i="7"/>
  <c r="H88" i="7" l="1"/>
  <c r="K46" i="7"/>
  <c r="K45" i="7" s="1"/>
  <c r="K5" i="7" l="1"/>
  <c r="K87" i="7" s="1"/>
  <c r="K84" i="7"/>
  <c r="K86" i="7" s="1"/>
  <c r="K89" i="7" s="1"/>
  <c r="K90" i="7" l="1"/>
  <c r="K91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tajomnik</author>
  </authors>
  <commentList>
    <comment ref="G2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tajomnik:</t>
        </r>
        <r>
          <rPr>
            <sz val="9"/>
            <color indexed="81"/>
            <rFont val="Tahoma"/>
            <family val="2"/>
            <charset val="238"/>
          </rPr>
          <t xml:space="preserve">
sú sem zahrnuté položky označené žltou na záložke "2015-2016"</t>
        </r>
      </text>
    </comment>
    <comment ref="G2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tajomnik:</t>
        </r>
        <r>
          <rPr>
            <sz val="9"/>
            <color indexed="81"/>
            <rFont val="Tahoma"/>
            <family val="2"/>
            <charset val="238"/>
          </rPr>
          <t xml:space="preserve">
150 eur BOZP školenie som dala do nákladov kancelárie</t>
        </r>
      </text>
    </comment>
    <comment ref="G3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tajomnik:</t>
        </r>
        <r>
          <rPr>
            <sz val="9"/>
            <color indexed="81"/>
            <rFont val="Tahoma"/>
            <family val="2"/>
            <charset val="238"/>
          </rPr>
          <t xml:space="preserve">
vrátane všetkých nákladov SČK</t>
        </r>
      </text>
    </comment>
    <comment ref="D8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tajomnik:</t>
        </r>
        <r>
          <rPr>
            <sz val="9"/>
            <color indexed="81"/>
            <rFont val="Tahoma"/>
            <family val="2"/>
          </rPr>
          <t xml:space="preserve">
reál podľa RUZ bol 5.258 eur</t>
        </r>
      </text>
    </comment>
    <comment ref="E8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tajomnik:</t>
        </r>
        <r>
          <rPr>
            <sz val="9"/>
            <color indexed="81"/>
            <rFont val="Tahoma"/>
            <family val="2"/>
          </rPr>
          <t xml:space="preserve">
reál podľa RUZ bol 10.457 eur</t>
        </r>
      </text>
    </comment>
    <comment ref="F89" authorId="0" shapeId="0" xr:uid="{A3470C67-07B9-4D3D-B52F-00FB0D693F79}">
      <text>
        <r>
          <rPr>
            <b/>
            <sz val="9"/>
            <color indexed="81"/>
            <rFont val="Tahoma"/>
            <family val="2"/>
          </rPr>
          <t>tajomnik:</t>
        </r>
        <r>
          <rPr>
            <sz val="9"/>
            <color indexed="81"/>
            <rFont val="Tahoma"/>
            <family val="2"/>
          </rPr>
          <t xml:space="preserve">
reál podľa RUZ bol 10.457 eur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ekono</author>
  </authors>
  <commentList>
    <comment ref="AK251" authorId="0" shapeId="0" xr:uid="{2BEA42A7-6BDE-4FFA-8F62-29CB550A2AEA}">
      <text>
        <r>
          <rPr>
            <b/>
            <sz val="9"/>
            <color indexed="81"/>
            <rFont val="Segoe UI"/>
            <charset val="1"/>
          </rPr>
          <t>ekono:</t>
        </r>
        <r>
          <rPr>
            <sz val="9"/>
            <color indexed="81"/>
            <rFont val="Segoe UI"/>
            <charset val="1"/>
          </rPr>
          <t xml:space="preserve">
hrubý odhad = zisk * 21%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Adriana Horváthová</author>
  </authors>
  <commentList>
    <comment ref="A56" authorId="0" shapeId="0" xr:uid="{00000000-0006-0000-0300-000001000000}">
      <text>
        <r>
          <rPr>
            <b/>
            <sz val="9"/>
            <color indexed="81"/>
            <rFont val="Segoe UI"/>
            <family val="2"/>
            <charset val="238"/>
          </rPr>
          <t>Adriana Horváthová:</t>
        </r>
        <r>
          <rPr>
            <sz val="9"/>
            <color indexed="81"/>
            <rFont val="Segoe UI"/>
            <family val="2"/>
            <charset val="238"/>
          </rPr>
          <t xml:space="preserve">
ešte tam nemám reálne počty, je to len odhad</t>
        </r>
      </text>
    </comment>
  </commentList>
</comments>
</file>

<file path=xl/sharedStrings.xml><?xml version="1.0" encoding="utf-8"?>
<sst xmlns="http://schemas.openxmlformats.org/spreadsheetml/2006/main" count="1276" uniqueCount="325">
  <si>
    <t xml:space="preserve">     účty</t>
  </si>
  <si>
    <t>spolu:</t>
  </si>
  <si>
    <t>FINA PLUS</t>
  </si>
  <si>
    <t>JPP cez SKDP LOTUS</t>
  </si>
  <si>
    <t>materiál-čist a hyg pr</t>
  </si>
  <si>
    <t>kancel.potreby</t>
  </si>
  <si>
    <t>energia  1/2 z 25,7m2</t>
  </si>
  <si>
    <t>cestovné</t>
  </si>
  <si>
    <t>reprezentačné</t>
  </si>
  <si>
    <t>nájomné</t>
  </si>
  <si>
    <t>služby spojené s nájmom</t>
  </si>
  <si>
    <t>sklad  nájom</t>
  </si>
  <si>
    <t>právne služby</t>
  </si>
  <si>
    <t>odvody</t>
  </si>
  <si>
    <t>dohody</t>
  </si>
  <si>
    <t>odmena konateľov</t>
  </si>
  <si>
    <t>strav.lístky</t>
  </si>
  <si>
    <t>SF</t>
  </si>
  <si>
    <t>DzMV</t>
  </si>
  <si>
    <t>ostat dane a popl</t>
  </si>
  <si>
    <t>poistky a ost.nákl</t>
  </si>
  <si>
    <t>odpisy</t>
  </si>
  <si>
    <t>bank popl</t>
  </si>
  <si>
    <t>allianz, eset</t>
  </si>
  <si>
    <t xml:space="preserve">    str.2</t>
  </si>
  <si>
    <t>výnosy - náklady</t>
  </si>
  <si>
    <t>nákup DHIM</t>
  </si>
  <si>
    <t>vnútorná fakturácia na iné str.</t>
  </si>
  <si>
    <t>str.1</t>
  </si>
  <si>
    <t>ISB</t>
  </si>
  <si>
    <t>semináre</t>
  </si>
  <si>
    <t>str.3</t>
  </si>
  <si>
    <t>celkom</t>
  </si>
  <si>
    <t xml:space="preserve">réžia  </t>
  </si>
  <si>
    <t>daň z príjmov</t>
  </si>
  <si>
    <t>po zdanení:</t>
  </si>
  <si>
    <t>pred zdanením:</t>
  </si>
  <si>
    <t>podnik</t>
  </si>
  <si>
    <t>materiál, literat, časop</t>
  </si>
  <si>
    <t>telef,mobily,SWAN, TEAM Viewer</t>
  </si>
  <si>
    <t xml:space="preserve">mzda zam. </t>
  </si>
  <si>
    <t>vnútropodnikové náklady:</t>
  </si>
  <si>
    <t>náklady celkom:</t>
  </si>
  <si>
    <t>Náklady:</t>
  </si>
  <si>
    <t>Výnosy:</t>
  </si>
  <si>
    <t xml:space="preserve">tržby - </t>
  </si>
  <si>
    <t>užívateľský poplatok</t>
  </si>
  <si>
    <t>IS servis, inštalácie</t>
  </si>
  <si>
    <t>SKDP fa</t>
  </si>
  <si>
    <t>SKDP ost.sl</t>
  </si>
  <si>
    <t>výnosy celkom:</t>
  </si>
  <si>
    <t>dobropis ISB</t>
  </si>
  <si>
    <t>materiál - občer.semináre</t>
  </si>
  <si>
    <t>drobný nehm.majetok</t>
  </si>
  <si>
    <t>lektori</t>
  </si>
  <si>
    <t>ubytovanie semináre</t>
  </si>
  <si>
    <t>reklama semináre</t>
  </si>
  <si>
    <t>povinný seminár</t>
  </si>
  <si>
    <t>MD</t>
  </si>
  <si>
    <t>dotácia k pov.semin.</t>
  </si>
  <si>
    <t>Plán činnosti ADP podľa stredísk:</t>
  </si>
  <si>
    <t>réžia</t>
  </si>
  <si>
    <t>fakturácia</t>
  </si>
  <si>
    <t>stredisko</t>
  </si>
  <si>
    <t>náklady bez R</t>
  </si>
  <si>
    <t>2,3 od 1</t>
  </si>
  <si>
    <t>3 od 2</t>
  </si>
  <si>
    <t xml:space="preserve"> náklady s R</t>
  </si>
  <si>
    <t>výnosy</t>
  </si>
  <si>
    <t>2 pre 3</t>
  </si>
  <si>
    <t>1 pre 2,3</t>
  </si>
  <si>
    <t>Hosp.výsl.</t>
  </si>
  <si>
    <t>z toho dotácia SKDP</t>
  </si>
  <si>
    <t>podnik celkom</t>
  </si>
  <si>
    <t>stav bez dotácie</t>
  </si>
  <si>
    <t>vzdelávanie</t>
  </si>
  <si>
    <t>výsledok po  zdanení:</t>
  </si>
  <si>
    <t>náklady bez rozpustenia (OP, odpisy pohľ.)</t>
  </si>
  <si>
    <t>PLÁN</t>
  </si>
  <si>
    <t>ADP 2015</t>
  </si>
  <si>
    <t>sl-čes.konfer.</t>
  </si>
  <si>
    <t>602xxx</t>
  </si>
  <si>
    <t>skutočnosť</t>
  </si>
  <si>
    <t>koncesionárske poplatky</t>
  </si>
  <si>
    <t>ostatné služby, 518100 + 518212+518600</t>
  </si>
  <si>
    <t>518100+518212+518600</t>
  </si>
  <si>
    <t>parkovné</t>
  </si>
  <si>
    <t>školenie BOZP</t>
  </si>
  <si>
    <t>licencia, aktualizácia soft.</t>
  </si>
  <si>
    <t>odpis pohľadávky 2012</t>
  </si>
  <si>
    <t>tvorba opravnej položky k pohľad.</t>
  </si>
  <si>
    <t>548100+548200-548300</t>
  </si>
  <si>
    <t>kurz.strata</t>
  </si>
  <si>
    <t>538200+563100</t>
  </si>
  <si>
    <t>522100 + 523100</t>
  </si>
  <si>
    <t>príj.konat.</t>
  </si>
  <si>
    <t>548999+591100</t>
  </si>
  <si>
    <t xml:space="preserve">   str.1</t>
  </si>
  <si>
    <t xml:space="preserve">   str.3</t>
  </si>
  <si>
    <t>ADP</t>
  </si>
  <si>
    <t>Spotreba materiálu - réžijný ost</t>
  </si>
  <si>
    <t>Náklady na reprezentáciu</t>
  </si>
  <si>
    <t>Ostatné služby - ostatné</t>
  </si>
  <si>
    <t>Semináre - Lektori - odmeny</t>
  </si>
  <si>
    <t>Semináre - občerstvenie</t>
  </si>
  <si>
    <t>Prenájom skladových priestorov</t>
  </si>
  <si>
    <t>Telefónne služby</t>
  </si>
  <si>
    <t>Prepravné služby, poštovné, cest</t>
  </si>
  <si>
    <t>Reklamné služby - semináre</t>
  </si>
  <si>
    <t>Mzdové náklady - DOHODY ADP</t>
  </si>
  <si>
    <t>Odmeny členom spol.- konateľ</t>
  </si>
  <si>
    <t>Odmeny členom spol.- DR a iné</t>
  </si>
  <si>
    <t>Zákonné soc. náklady - tvorba SF</t>
  </si>
  <si>
    <t>Zákonné soc. náklady - náhrada P</t>
  </si>
  <si>
    <t>Ost.fin.náklady - bankové poplat</t>
  </si>
  <si>
    <t>Trzby z predaja služieb-seminare</t>
  </si>
  <si>
    <t>Centove výnosy</t>
  </si>
  <si>
    <t>Ostatné služby - ASPI-IURA EDITION</t>
  </si>
  <si>
    <t>Parkovné</t>
  </si>
  <si>
    <t>Cestovné - náhrada za súkr. auto</t>
  </si>
  <si>
    <t>odmeny DR a iné</t>
  </si>
  <si>
    <t>opravy a údržba</t>
  </si>
  <si>
    <t>ASPI - WK</t>
  </si>
  <si>
    <t xml:space="preserve">odvody </t>
  </si>
  <si>
    <t xml:space="preserve">Výnosy spolu: </t>
  </si>
  <si>
    <t>konferencie</t>
  </si>
  <si>
    <t>ASPI - prefakturácia</t>
  </si>
  <si>
    <t>dlhodobé</t>
  </si>
  <si>
    <t>konferencia</t>
  </si>
  <si>
    <t xml:space="preserve">nájom </t>
  </si>
  <si>
    <t>dotovaní</t>
  </si>
  <si>
    <t>občerstvenie</t>
  </si>
  <si>
    <t>proluc</t>
  </si>
  <si>
    <t xml:space="preserve">     účty r2017</t>
  </si>
  <si>
    <t>Semináre - ostatný materiál</t>
  </si>
  <si>
    <t>5121000-5124000</t>
  </si>
  <si>
    <t>semináre - tlač dokumentov</t>
  </si>
  <si>
    <t>semináre - iné služby</t>
  </si>
  <si>
    <t>5272100-5272200</t>
  </si>
  <si>
    <t>centové vyrovnanie</t>
  </si>
  <si>
    <t>náklady MD Tále</t>
  </si>
  <si>
    <t>Semináre - ubytovanie</t>
  </si>
  <si>
    <t>Semináre - tlač dokumentov</t>
  </si>
  <si>
    <t>Semináre - iné služby</t>
  </si>
  <si>
    <t>Poistenie majetku</t>
  </si>
  <si>
    <t>SKUTOČNOSŤ</t>
  </si>
  <si>
    <t>k 31.8.2017</t>
  </si>
  <si>
    <t>CIS_UCTU,N,8,4</t>
  </si>
  <si>
    <t>NAZ_UCTU,C,36</t>
  </si>
  <si>
    <t>STREDISKO,C,6</t>
  </si>
  <si>
    <t>TRIED_ZNAK,C,36</t>
  </si>
  <si>
    <t>DRUH,C,4</t>
  </si>
  <si>
    <t>PRC_MES,N,7,3</t>
  </si>
  <si>
    <t>PRC_ROK,N,7,3</t>
  </si>
  <si>
    <t>Spotreba materiálu - čistiace a hyg.</t>
  </si>
  <si>
    <t>N</t>
  </si>
  <si>
    <t>Spotreba materiálu - papier, perá, b</t>
  </si>
  <si>
    <t>Spotreba materiálu - drobný majetok</t>
  </si>
  <si>
    <t>Spotreba materiálu - réžijný ostatný</t>
  </si>
  <si>
    <t>Spotreba materiálu - občerst. semini</t>
  </si>
  <si>
    <t>Opravy a udržovanie</t>
  </si>
  <si>
    <t>Cestovné - lietadlo, vlak, MHD,...</t>
  </si>
  <si>
    <t>Semináre - Prenájom priestorov,...</t>
  </si>
  <si>
    <t>Prenájom nebytových priestorov pre A</t>
  </si>
  <si>
    <t>Služby súvis. s prenájom nebyt. prie</t>
  </si>
  <si>
    <t>Prepravné služby, poštovné, cestovné</t>
  </si>
  <si>
    <t>Právne služby</t>
  </si>
  <si>
    <t>Management fee</t>
  </si>
  <si>
    <t>ostatný software - licencie, aktual,</t>
  </si>
  <si>
    <t>Mzdové náklady - ZC ADP</t>
  </si>
  <si>
    <t>Zákonné socialné poistenie</t>
  </si>
  <si>
    <t>Zákonné soc. náklady - stravné - daň</t>
  </si>
  <si>
    <t>Zákonné soc. náklady - stravné - ned</t>
  </si>
  <si>
    <t>Zákonné soc. náklady - náhrada PN</t>
  </si>
  <si>
    <t>Daň z motorových vozidiel</t>
  </si>
  <si>
    <t>Ostatné dane a poplatky - notár, kol</t>
  </si>
  <si>
    <t>Trzby z predaja služieb</t>
  </si>
  <si>
    <t>V</t>
  </si>
  <si>
    <t>Trzby služby-Baltazár-poplatok</t>
  </si>
  <si>
    <t>Trzby služby-Baltazár-inštalácia</t>
  </si>
  <si>
    <t>Trzby služby-iné softwarove</t>
  </si>
  <si>
    <t>Trzby z predaja služieb-ZAZNAMI</t>
  </si>
  <si>
    <t>Ostatné výnosy - z reklamy</t>
  </si>
  <si>
    <t>Ostatné výnosy - z prenájmu priestor</t>
  </si>
  <si>
    <t>NÁKLADY</t>
  </si>
  <si>
    <t>Plán</t>
  </si>
  <si>
    <t>Skutočnosť</t>
  </si>
  <si>
    <t xml:space="preserve">SPOLU - NÁKLADY: </t>
  </si>
  <si>
    <t>Kancelária ADP</t>
  </si>
  <si>
    <t>Prevádzka kancelárie</t>
  </si>
  <si>
    <t>Personálne náklady</t>
  </si>
  <si>
    <t>Vzdelávanie ADP</t>
  </si>
  <si>
    <t>Náklady podujatí</t>
  </si>
  <si>
    <t>Prenájmy priestorov</t>
  </si>
  <si>
    <t>Tlač materiálov</t>
  </si>
  <si>
    <t>Občerstvenie</t>
  </si>
  <si>
    <t>Ubytovanie</t>
  </si>
  <si>
    <t>Náklady na lektorov</t>
  </si>
  <si>
    <t>Cestovné</t>
  </si>
  <si>
    <t>Informačný systém</t>
  </si>
  <si>
    <t>Prevádzka systému</t>
  </si>
  <si>
    <t>ASPI</t>
  </si>
  <si>
    <t>licencia, aktualizácia softwaru</t>
  </si>
  <si>
    <t>VÝNOSY</t>
  </si>
  <si>
    <t xml:space="preserve">SPOLU - VÝNOSY: </t>
  </si>
  <si>
    <t>Finančný plán</t>
  </si>
  <si>
    <t>PLÁN 2017</t>
  </si>
  <si>
    <t>poštovné</t>
  </si>
  <si>
    <t>ostatné náklady</t>
  </si>
  <si>
    <t>poistky</t>
  </si>
  <si>
    <t>výnosy z reklamy</t>
  </si>
  <si>
    <t>výnosy z prenájmu</t>
  </si>
  <si>
    <t>Spotreba materiálu</t>
  </si>
  <si>
    <t>Reklama</t>
  </si>
  <si>
    <t>Ostatné náklady</t>
  </si>
  <si>
    <t>Kancelária ADP - Náklady</t>
  </si>
  <si>
    <t>Kancelária ADP - Výnosy</t>
  </si>
  <si>
    <t>Vzdelávanie ADP - Náklady</t>
  </si>
  <si>
    <t>Vzdelávanie ADP - Výnosy</t>
  </si>
  <si>
    <t>Informačný systém - Náklady</t>
  </si>
  <si>
    <t>Informačný systém -Výnosy</t>
  </si>
  <si>
    <t>ZISK PRED ZDANENÍM</t>
  </si>
  <si>
    <t>Náklady</t>
  </si>
  <si>
    <t>Výnosy</t>
  </si>
  <si>
    <t>Spolu</t>
  </si>
  <si>
    <t>Ostatné výnosy</t>
  </si>
  <si>
    <t>SKDP refakturácia</t>
  </si>
  <si>
    <t>Trzby z predaja služieb-ZAZNAM</t>
  </si>
  <si>
    <t>1N</t>
  </si>
  <si>
    <t>2N</t>
  </si>
  <si>
    <t>3N</t>
  </si>
  <si>
    <t>1V</t>
  </si>
  <si>
    <t>2V</t>
  </si>
  <si>
    <t>3V</t>
  </si>
  <si>
    <t>NV</t>
  </si>
  <si>
    <t>Ostatné služby - licencia Fina PLUS</t>
  </si>
  <si>
    <t>Tvorba zúčt.opr.pol. k pohľad. - daňové</t>
  </si>
  <si>
    <t>Centové vyrovnanie</t>
  </si>
  <si>
    <t>Ostatné náklady - nedaňové</t>
  </si>
  <si>
    <t>Odpisy dlh.nehm.a hm.majetku - daňové</t>
  </si>
  <si>
    <t>Odpisy drobného majetku - daňové</t>
  </si>
  <si>
    <t>Ostatné výnosy - ostatné</t>
  </si>
  <si>
    <t>odmeny orgánov, fee</t>
  </si>
  <si>
    <t>daň</t>
  </si>
  <si>
    <t>ZISK PO ZDANENÍ</t>
  </si>
  <si>
    <t>HV pred zdanením:</t>
  </si>
  <si>
    <t>Splatná daň z príjm. bežnej. čin.</t>
  </si>
  <si>
    <t>HV po zdanení:</t>
  </si>
  <si>
    <t>01-12/2017</t>
  </si>
  <si>
    <t>Zákonné soc. náklady - ostatné</t>
  </si>
  <si>
    <t>Trzby z predaja služieb-dobropis min. rok</t>
  </si>
  <si>
    <t>Predaný tovar - publikácie</t>
  </si>
  <si>
    <t>Semináre - parkovné</t>
  </si>
  <si>
    <t>Semináre - reklamné služby</t>
  </si>
  <si>
    <t>Odpis pohľadávky - oprava min. rokov</t>
  </si>
  <si>
    <t>Tržby za t ovar - publikácie</t>
  </si>
  <si>
    <t>STREDISKO</t>
  </si>
  <si>
    <t>druh</t>
  </si>
  <si>
    <t>počet</t>
  </si>
  <si>
    <t>účastníci</t>
  </si>
  <si>
    <t>cena</t>
  </si>
  <si>
    <t>náklady</t>
  </si>
  <si>
    <t>HV</t>
  </si>
  <si>
    <t>konferencia k medz. daniam</t>
  </si>
  <si>
    <t>SČK</t>
  </si>
  <si>
    <t>Daňová akadémia</t>
  </si>
  <si>
    <t>dane komplexne</t>
  </si>
  <si>
    <t>otázky a odpovede</t>
  </si>
  <si>
    <t>SPOLU bez réžie ADP</t>
  </si>
  <si>
    <t>Ost.pokuty,penále a úroky z omeš</t>
  </si>
  <si>
    <t>Odpis pohľadávky - daňový</t>
  </si>
  <si>
    <t>Odpis pohľadávky - nedaňový</t>
  </si>
  <si>
    <t>01-12/2018</t>
  </si>
  <si>
    <t>2018</t>
  </si>
  <si>
    <t>Trzby z predaja publikácii</t>
  </si>
  <si>
    <t>Spotreba materiálu - literatúra, čas</t>
  </si>
  <si>
    <t>Spotreba mat. - drobné rekl. predmet</t>
  </si>
  <si>
    <t>POLE vo FINANCNOM PLANE</t>
  </si>
  <si>
    <t>Cestovné - diety</t>
  </si>
  <si>
    <t>Tržby z predaja služieb - ostatné</t>
  </si>
  <si>
    <t>2020</t>
  </si>
  <si>
    <t>knihy</t>
  </si>
  <si>
    <t>Daňové zákony</t>
  </si>
  <si>
    <t>Otázky a odpovede</t>
  </si>
  <si>
    <t>workshop k TP</t>
  </si>
  <si>
    <t>Údržba prenajatých priestorov</t>
  </si>
  <si>
    <t>01-12/2019</t>
  </si>
  <si>
    <t>CBC - kopírovacie služby</t>
  </si>
  <si>
    <t>Cestovné - ubytovanie</t>
  </si>
  <si>
    <t>2019</t>
  </si>
  <si>
    <t>Ostatné výnosy - dotácie - UPSVaR</t>
  </si>
  <si>
    <t>Ostatné výnosy -príspevok- duálne vz</t>
  </si>
  <si>
    <t>2021</t>
  </si>
  <si>
    <t>konferenia daňová kontrola</t>
  </si>
  <si>
    <t>01-12/2020  skutočnosť k 26.03.2021</t>
  </si>
  <si>
    <t>úhrada odpísaných pohľadávok</t>
  </si>
  <si>
    <t>pôvodný</t>
  </si>
  <si>
    <t>Manká a škody</t>
  </si>
  <si>
    <t>Trzby z predaja služieb-iné akcie</t>
  </si>
  <si>
    <t>Tržby z predaja služieb-iné akcie</t>
  </si>
  <si>
    <t>01-12/2021 skutočnosť k 16.03.2022</t>
  </si>
  <si>
    <t>2022</t>
  </si>
  <si>
    <t>konferencia k transferku</t>
  </si>
  <si>
    <t>konferencia daň. kontrola</t>
  </si>
  <si>
    <t>priestory</t>
  </si>
  <si>
    <t>občerstv.</t>
  </si>
  <si>
    <t>Ostatné výnosy-dotácie MH SR</t>
  </si>
  <si>
    <t>Ostanté výnosy-dotácie MH SR</t>
  </si>
  <si>
    <t>reál podľa ÚZ pred zdan.</t>
  </si>
  <si>
    <t>OPRAVA</t>
  </si>
  <si>
    <t>2023</t>
  </si>
  <si>
    <t>01-12/2022 skutočnosť z 31.03.2023</t>
  </si>
  <si>
    <t>Výnosy z odpísaných pohľadávok</t>
  </si>
  <si>
    <t>Zmluv.pokuty,penale a úr.z omeškania</t>
  </si>
  <si>
    <t>Úroky z BU</t>
  </si>
  <si>
    <t>2024</t>
  </si>
  <si>
    <t>01-12/2023 z 20.04.2024</t>
  </si>
  <si>
    <t>r2024</t>
  </si>
  <si>
    <t>r2023</t>
  </si>
  <si>
    <t>2025</t>
  </si>
  <si>
    <t>Ostatné dane a poplatky</t>
  </si>
  <si>
    <t>01-12/2024 z 21.02.2025</t>
  </si>
  <si>
    <t>Splatná daň z príjm. bežnej. čin. - z úrokov</t>
  </si>
  <si>
    <t>Splatná daň spolu:</t>
  </si>
  <si>
    <t>21.2.2025 /pred zostavením UZ/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</si>
</sst>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\ &quot;€&quot;"/>
    <numFmt numFmtId="166" formatCode="0.000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26"/>
      <color theme="4" tint="-0.24997711111789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26"/>
      <color theme="1"/>
      <name val="Calibri"/>
      <family val="2"/>
      <charset val="238"/>
      <scheme val="minor"/>
    </font>
    <font>
      <sz val="9"/>
      <color theme="0" tint="-0.1499984740745262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5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4" tint="-0.24994659260841701"/>
      </left>
      <right style="thin">
        <color theme="4" tint="-0.24994659260841701"/>
      </right>
      <top style="thick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/>
      <diagonal/>
    </border>
    <border>
      <left style="thin">
        <color theme="4" tint="-0.24994659260841701"/>
      </left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/>
      <bottom/>
      <diagonal/>
    </border>
    <border>
      <left style="thick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ck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ck">
        <color theme="4" tint="-0.24994659260841701"/>
      </top>
      <bottom/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/>
      <top style="thick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4" tint="-0.24994659260841701"/>
      </top>
      <bottom/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/>
      <top style="thin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 style="thin">
        <color theme="4" tint="-0.24994659260841701"/>
      </top>
      <bottom/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/>
      <bottom/>
      <diagonal/>
    </border>
    <border>
      <left style="thin">
        <color theme="4" tint="-0.24994659260841701"/>
      </left>
      <right style="thick">
        <color theme="4" tint="-0.24994659260841701"/>
      </right>
      <top/>
      <bottom/>
      <diagonal/>
    </border>
    <border>
      <left/>
      <right/>
      <top style="thick">
        <color theme="4" tint="-0.24994659260841701"/>
      </top>
      <bottom/>
      <diagonal/>
    </border>
    <border>
      <left style="thin">
        <color theme="4" tint="-0.24994659260841701"/>
      </left>
      <right style="thin">
        <color indexed="64"/>
      </right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indexed="64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0" fontId="4" fillId="0" borderId="0"/>
  </cellStyleXfs>
  <cellXfs count="245">
    <xf numFmtId="0" fontId="0" fillId="0" borderId="0" xfId="0"/>
    <xf numFmtId="0" fontId="3" fillId="0" borderId="1" xfId="0" applyFont="1" applyBorder="1"/>
    <xf numFmtId="0" fontId="4" fillId="0" borderId="0" xfId="0" applyFont="1"/>
    <xf numFmtId="0" fontId="5" fillId="0" borderId="1" xfId="0" applyFont="1" applyBorder="1"/>
    <xf numFmtId="0" fontId="0" fillId="0" borderId="1" xfId="0" applyBorder="1"/>
    <xf numFmtId="0" fontId="4" fillId="0" borderId="1" xfId="0" applyFont="1" applyBorder="1"/>
    <xf numFmtId="0" fontId="6" fillId="0" borderId="1" xfId="0" applyFont="1" applyBorder="1"/>
    <xf numFmtId="0" fontId="2" fillId="0" borderId="1" xfId="0" applyFont="1" applyBorder="1"/>
    <xf numFmtId="164" fontId="0" fillId="0" borderId="0" xfId="0" applyNumberFormat="1"/>
    <xf numFmtId="0" fontId="9" fillId="0" borderId="0" xfId="0" applyFont="1"/>
    <xf numFmtId="0" fontId="9" fillId="0" borderId="4" xfId="0" applyFont="1" applyBorder="1"/>
    <xf numFmtId="0" fontId="9" fillId="0" borderId="2" xfId="0" applyFont="1" applyBorder="1"/>
    <xf numFmtId="0" fontId="10" fillId="0" borderId="2" xfId="0" applyFont="1" applyBorder="1"/>
    <xf numFmtId="0" fontId="10" fillId="0" borderId="0" xfId="0" applyFont="1"/>
    <xf numFmtId="0" fontId="10" fillId="0" borderId="5" xfId="0" applyFont="1" applyBorder="1"/>
    <xf numFmtId="0" fontId="10" fillId="0" borderId="13" xfId="0" applyFont="1" applyBorder="1"/>
    <xf numFmtId="0" fontId="10" fillId="0" borderId="12" xfId="0" applyFont="1" applyBorder="1"/>
    <xf numFmtId="0" fontId="10" fillId="0" borderId="10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6" xfId="0" applyFont="1" applyBorder="1"/>
    <xf numFmtId="9" fontId="10" fillId="0" borderId="2" xfId="0" applyNumberFormat="1" applyFont="1" applyBorder="1"/>
    <xf numFmtId="0" fontId="9" fillId="0" borderId="5" xfId="0" applyFont="1" applyBorder="1"/>
    <xf numFmtId="2" fontId="9" fillId="0" borderId="0" xfId="0" applyNumberFormat="1" applyFont="1"/>
    <xf numFmtId="2" fontId="9" fillId="0" borderId="2" xfId="0" applyNumberFormat="1" applyFont="1" applyBorder="1"/>
    <xf numFmtId="9" fontId="9" fillId="0" borderId="0" xfId="0" applyNumberFormat="1" applyFont="1"/>
    <xf numFmtId="10" fontId="9" fillId="0" borderId="0" xfId="0" applyNumberFormat="1" applyFont="1"/>
    <xf numFmtId="0" fontId="9" fillId="0" borderId="9" xfId="0" applyFont="1" applyBorder="1"/>
    <xf numFmtId="0" fontId="9" fillId="0" borderId="0" xfId="0" applyFont="1" applyAlignment="1">
      <alignment horizontal="right"/>
    </xf>
    <xf numFmtId="9" fontId="9" fillId="0" borderId="4" xfId="0" applyNumberFormat="1" applyFont="1" applyBorder="1"/>
    <xf numFmtId="0" fontId="9" fillId="0" borderId="3" xfId="0" applyFont="1" applyBorder="1"/>
    <xf numFmtId="0" fontId="9" fillId="0" borderId="14" xfId="0" applyFont="1" applyBorder="1"/>
    <xf numFmtId="0" fontId="10" fillId="0" borderId="1" xfId="0" applyFont="1" applyBorder="1"/>
    <xf numFmtId="2" fontId="10" fillId="0" borderId="1" xfId="0" applyNumberFormat="1" applyFont="1" applyBorder="1"/>
    <xf numFmtId="2" fontId="10" fillId="0" borderId="0" xfId="0" applyNumberFormat="1" applyFont="1"/>
    <xf numFmtId="2" fontId="10" fillId="0" borderId="2" xfId="0" applyNumberFormat="1" applyFont="1" applyBorder="1"/>
    <xf numFmtId="2" fontId="10" fillId="0" borderId="5" xfId="0" applyNumberFormat="1" applyFont="1" applyBorder="1"/>
    <xf numFmtId="0" fontId="11" fillId="0" borderId="0" xfId="0" applyFont="1"/>
    <xf numFmtId="0" fontId="10" fillId="0" borderId="7" xfId="0" applyFont="1" applyBorder="1"/>
    <xf numFmtId="0" fontId="10" fillId="0" borderId="8" xfId="0" applyFont="1" applyBorder="1"/>
    <xf numFmtId="2" fontId="10" fillId="0" borderId="7" xfId="0" applyNumberFormat="1" applyFont="1" applyBorder="1"/>
    <xf numFmtId="0" fontId="9" fillId="0" borderId="1" xfId="0" applyFont="1" applyBorder="1"/>
    <xf numFmtId="2" fontId="9" fillId="0" borderId="7" xfId="0" applyNumberFormat="1" applyFont="1" applyBorder="1"/>
    <xf numFmtId="0" fontId="10" fillId="2" borderId="1" xfId="0" applyFont="1" applyFill="1" applyBorder="1"/>
    <xf numFmtId="2" fontId="10" fillId="2" borderId="1" xfId="0" applyNumberFormat="1" applyFont="1" applyFill="1" applyBorder="1"/>
    <xf numFmtId="2" fontId="9" fillId="2" borderId="0" xfId="0" applyNumberFormat="1" applyFont="1" applyFill="1"/>
    <xf numFmtId="165" fontId="10" fillId="2" borderId="1" xfId="0" applyNumberFormat="1" applyFont="1" applyFill="1" applyBorder="1"/>
    <xf numFmtId="165" fontId="10" fillId="0" borderId="1" xfId="0" applyNumberFormat="1" applyFont="1" applyBorder="1"/>
    <xf numFmtId="2" fontId="9" fillId="0" borderId="1" xfId="0" applyNumberFormat="1" applyFont="1" applyBorder="1"/>
    <xf numFmtId="165" fontId="9" fillId="0" borderId="1" xfId="0" applyNumberFormat="1" applyFont="1" applyBorder="1"/>
    <xf numFmtId="165" fontId="12" fillId="2" borderId="1" xfId="0" applyNumberFormat="1" applyFont="1" applyFill="1" applyBorder="1"/>
    <xf numFmtId="0" fontId="9" fillId="0" borderId="13" xfId="0" applyFont="1" applyBorder="1"/>
    <xf numFmtId="0" fontId="10" fillId="3" borderId="11" xfId="0" applyFont="1" applyFill="1" applyBorder="1"/>
    <xf numFmtId="0" fontId="9" fillId="3" borderId="2" xfId="0" applyFont="1" applyFill="1" applyBorder="1"/>
    <xf numFmtId="0" fontId="9" fillId="3" borderId="3" xfId="0" applyFont="1" applyFill="1" applyBorder="1"/>
    <xf numFmtId="0" fontId="9" fillId="3" borderId="0" xfId="0" applyFont="1" applyFill="1"/>
    <xf numFmtId="2" fontId="0" fillId="0" borderId="0" xfId="0" applyNumberFormat="1"/>
    <xf numFmtId="166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0" xfId="0" applyFont="1" applyBorder="1"/>
    <xf numFmtId="4" fontId="9" fillId="0" borderId="5" xfId="0" applyNumberFormat="1" applyFont="1" applyBorder="1"/>
    <xf numFmtId="4" fontId="9" fillId="0" borderId="5" xfId="0" applyNumberFormat="1" applyFont="1" applyBorder="1" applyAlignment="1">
      <alignment horizontal="right"/>
    </xf>
    <xf numFmtId="0" fontId="9" fillId="0" borderId="6" xfId="0" applyFont="1" applyBorder="1"/>
    <xf numFmtId="4" fontId="9" fillId="0" borderId="1" xfId="0" applyNumberFormat="1" applyFont="1" applyBorder="1"/>
    <xf numFmtId="0" fontId="1" fillId="0" borderId="0" xfId="0" applyFont="1" applyAlignment="1">
      <alignment horizontal="center"/>
    </xf>
    <xf numFmtId="0" fontId="1" fillId="6" borderId="15" xfId="0" applyFont="1" applyFill="1" applyBorder="1"/>
    <xf numFmtId="0" fontId="1" fillId="6" borderId="16" xfId="0" applyFont="1" applyFill="1" applyBorder="1"/>
    <xf numFmtId="0" fontId="1" fillId="6" borderId="17" xfId="0" applyFont="1" applyFill="1" applyBorder="1"/>
    <xf numFmtId="0" fontId="1" fillId="6" borderId="18" xfId="0" applyFont="1" applyFill="1" applyBorder="1"/>
    <xf numFmtId="165" fontId="1" fillId="6" borderId="18" xfId="0" applyNumberFormat="1" applyFont="1" applyFill="1" applyBorder="1"/>
    <xf numFmtId="0" fontId="1" fillId="0" borderId="19" xfId="0" applyFont="1" applyBorder="1"/>
    <xf numFmtId="0" fontId="1" fillId="0" borderId="20" xfId="0" applyFont="1" applyBorder="1"/>
    <xf numFmtId="0" fontId="1" fillId="5" borderId="22" xfId="0" applyFont="1" applyFill="1" applyBorder="1"/>
    <xf numFmtId="165" fontId="0" fillId="5" borderId="23" xfId="0" applyNumberFormat="1" applyFill="1" applyBorder="1"/>
    <xf numFmtId="0" fontId="1" fillId="4" borderId="24" xfId="0" applyFont="1" applyFill="1" applyBorder="1"/>
    <xf numFmtId="165" fontId="0" fillId="4" borderId="25" xfId="0" applyNumberFormat="1" applyFill="1" applyBorder="1"/>
    <xf numFmtId="165" fontId="0" fillId="4" borderId="26" xfId="0" applyNumberFormat="1" applyFill="1" applyBorder="1"/>
    <xf numFmtId="0" fontId="9" fillId="0" borderId="24" xfId="0" applyFont="1" applyBorder="1"/>
    <xf numFmtId="165" fontId="0" fillId="0" borderId="25" xfId="0" applyNumberFormat="1" applyBorder="1"/>
    <xf numFmtId="165" fontId="0" fillId="0" borderId="26" xfId="0" applyNumberFormat="1" applyBorder="1"/>
    <xf numFmtId="0" fontId="0" fillId="0" borderId="19" xfId="0" applyBorder="1"/>
    <xf numFmtId="0" fontId="0" fillId="0" borderId="20" xfId="0" applyBorder="1"/>
    <xf numFmtId="0" fontId="0" fillId="0" borderId="24" xfId="0" applyBorder="1"/>
    <xf numFmtId="0" fontId="9" fillId="0" borderId="27" xfId="0" applyFont="1" applyBorder="1"/>
    <xf numFmtId="165" fontId="0" fillId="0" borderId="28" xfId="0" applyNumberFormat="1" applyBorder="1"/>
    <xf numFmtId="0" fontId="9" fillId="0" borderId="30" xfId="0" applyFont="1" applyBorder="1"/>
    <xf numFmtId="165" fontId="0" fillId="0" borderId="0" xfId="0" applyNumberFormat="1"/>
    <xf numFmtId="0" fontId="1" fillId="5" borderId="31" xfId="0" applyFont="1" applyFill="1" applyBorder="1"/>
    <xf numFmtId="165" fontId="0" fillId="5" borderId="32" xfId="0" applyNumberFormat="1" applyFill="1" applyBorder="1"/>
    <xf numFmtId="165" fontId="0" fillId="5" borderId="33" xfId="0" applyNumberFormat="1" applyFill="1" applyBorder="1"/>
    <xf numFmtId="0" fontId="13" fillId="0" borderId="0" xfId="0" applyFont="1"/>
    <xf numFmtId="0" fontId="1" fillId="6" borderId="34" xfId="0" applyFont="1" applyFill="1" applyBorder="1"/>
    <xf numFmtId="165" fontId="1" fillId="6" borderId="19" xfId="0" applyNumberFormat="1" applyFont="1" applyFill="1" applyBorder="1"/>
    <xf numFmtId="165" fontId="0" fillId="5" borderId="35" xfId="0" applyNumberFormat="1" applyFill="1" applyBorder="1"/>
    <xf numFmtId="165" fontId="0" fillId="4" borderId="36" xfId="0" applyNumberFormat="1" applyFill="1" applyBorder="1"/>
    <xf numFmtId="165" fontId="0" fillId="0" borderId="36" xfId="0" applyNumberFormat="1" applyBorder="1"/>
    <xf numFmtId="0" fontId="1" fillId="6" borderId="37" xfId="0" applyFont="1" applyFill="1" applyBorder="1"/>
    <xf numFmtId="165" fontId="1" fillId="6" borderId="21" xfId="0" applyNumberFormat="1" applyFont="1" applyFill="1" applyBorder="1"/>
    <xf numFmtId="165" fontId="0" fillId="5" borderId="38" xfId="0" applyNumberFormat="1" applyFill="1" applyBorder="1"/>
    <xf numFmtId="165" fontId="0" fillId="4" borderId="39" xfId="0" applyNumberFormat="1" applyFill="1" applyBorder="1"/>
    <xf numFmtId="165" fontId="0" fillId="0" borderId="39" xfId="0" applyNumberFormat="1" applyBorder="1"/>
    <xf numFmtId="165" fontId="0" fillId="5" borderId="22" xfId="0" applyNumberFormat="1" applyFill="1" applyBorder="1"/>
    <xf numFmtId="165" fontId="0" fillId="4" borderId="24" xfId="0" applyNumberFormat="1" applyFill="1" applyBorder="1"/>
    <xf numFmtId="165" fontId="0" fillId="0" borderId="41" xfId="0" applyNumberFormat="1" applyBorder="1"/>
    <xf numFmtId="165" fontId="0" fillId="5" borderId="31" xfId="0" applyNumberFormat="1" applyFill="1" applyBorder="1"/>
    <xf numFmtId="165" fontId="0" fillId="5" borderId="42" xfId="0" applyNumberFormat="1" applyFill="1" applyBorder="1"/>
    <xf numFmtId="165" fontId="0" fillId="5" borderId="43" xfId="0" applyNumberFormat="1" applyFill="1" applyBorder="1"/>
    <xf numFmtId="0" fontId="9" fillId="7" borderId="2" xfId="0" applyFont="1" applyFill="1" applyBorder="1"/>
    <xf numFmtId="0" fontId="0" fillId="7" borderId="0" xfId="0" applyFill="1"/>
    <xf numFmtId="0" fontId="10" fillId="7" borderId="11" xfId="0" applyFont="1" applyFill="1" applyBorder="1"/>
    <xf numFmtId="0" fontId="10" fillId="7" borderId="3" xfId="0" applyFont="1" applyFill="1" applyBorder="1"/>
    <xf numFmtId="9" fontId="10" fillId="7" borderId="2" xfId="0" applyNumberFormat="1" applyFont="1" applyFill="1" applyBorder="1"/>
    <xf numFmtId="2" fontId="9" fillId="7" borderId="2" xfId="0" applyNumberFormat="1" applyFont="1" applyFill="1" applyBorder="1"/>
    <xf numFmtId="0" fontId="9" fillId="7" borderId="0" xfId="0" applyFont="1" applyFill="1"/>
    <xf numFmtId="165" fontId="0" fillId="9" borderId="24" xfId="0" applyNumberFormat="1" applyFill="1" applyBorder="1"/>
    <xf numFmtId="165" fontId="0" fillId="9" borderId="26" xfId="0" applyNumberFormat="1" applyFill="1" applyBorder="1"/>
    <xf numFmtId="165" fontId="0" fillId="9" borderId="27" xfId="0" applyNumberFormat="1" applyFill="1" applyBorder="1"/>
    <xf numFmtId="0" fontId="17" fillId="0" borderId="0" xfId="0" applyFont="1"/>
    <xf numFmtId="165" fontId="1" fillId="6" borderId="26" xfId="0" applyNumberFormat="1" applyFont="1" applyFill="1" applyBorder="1"/>
    <xf numFmtId="165" fontId="14" fillId="8" borderId="29" xfId="0" applyNumberFormat="1" applyFont="1" applyFill="1" applyBorder="1"/>
    <xf numFmtId="0" fontId="1" fillId="6" borderId="19" xfId="0" applyFont="1" applyFill="1" applyBorder="1"/>
    <xf numFmtId="0" fontId="0" fillId="0" borderId="27" xfId="0" applyBorder="1"/>
    <xf numFmtId="165" fontId="0" fillId="9" borderId="46" xfId="0" applyNumberFormat="1" applyFill="1" applyBorder="1"/>
    <xf numFmtId="165" fontId="0" fillId="4" borderId="27" xfId="0" applyNumberFormat="1" applyFill="1" applyBorder="1"/>
    <xf numFmtId="0" fontId="18" fillId="0" borderId="0" xfId="0" applyFont="1"/>
    <xf numFmtId="0" fontId="9" fillId="3" borderId="5" xfId="0" applyFont="1" applyFill="1" applyBorder="1"/>
    <xf numFmtId="0" fontId="1" fillId="0" borderId="5" xfId="0" applyFont="1" applyBorder="1"/>
    <xf numFmtId="2" fontId="1" fillId="0" borderId="5" xfId="0" applyNumberFormat="1" applyFont="1" applyBorder="1"/>
    <xf numFmtId="0" fontId="0" fillId="0" borderId="0" xfId="0" applyAlignment="1">
      <alignment horizontal="right"/>
    </xf>
    <xf numFmtId="165" fontId="19" fillId="0" borderId="0" xfId="1" applyNumberFormat="1" applyFont="1" applyAlignment="1">
      <alignment horizontal="right"/>
    </xf>
    <xf numFmtId="165" fontId="1" fillId="6" borderId="0" xfId="0" applyNumberFormat="1" applyFont="1" applyFill="1"/>
    <xf numFmtId="10" fontId="0" fillId="0" borderId="0" xfId="0" applyNumberFormat="1"/>
    <xf numFmtId="165" fontId="19" fillId="0" borderId="41" xfId="1" applyNumberFormat="1" applyFont="1" applyBorder="1" applyAlignment="1">
      <alignment horizontal="right"/>
    </xf>
    <xf numFmtId="165" fontId="0" fillId="9" borderId="36" xfId="0" applyNumberFormat="1" applyFill="1" applyBorder="1"/>
    <xf numFmtId="165" fontId="0" fillId="9" borderId="40" xfId="0" applyNumberFormat="1" applyFill="1" applyBorder="1"/>
    <xf numFmtId="165" fontId="0" fillId="9" borderId="44" xfId="0" applyNumberFormat="1" applyFill="1" applyBorder="1"/>
    <xf numFmtId="165" fontId="0" fillId="4" borderId="40" xfId="0" applyNumberFormat="1" applyFill="1" applyBorder="1"/>
    <xf numFmtId="165" fontId="0" fillId="9" borderId="39" xfId="0" applyNumberFormat="1" applyFill="1" applyBorder="1"/>
    <xf numFmtId="164" fontId="0" fillId="0" borderId="0" xfId="0" applyNumberFormat="1" applyAlignment="1">
      <alignment horizontal="right"/>
    </xf>
    <xf numFmtId="4" fontId="0" fillId="0" borderId="0" xfId="0" applyNumberFormat="1"/>
    <xf numFmtId="164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1" fontId="1" fillId="0" borderId="0" xfId="0" applyNumberFormat="1" applyFont="1" applyAlignment="1">
      <alignment horizontal="center"/>
    </xf>
    <xf numFmtId="166" fontId="1" fillId="0" borderId="0" xfId="0" applyNumberFormat="1" applyFont="1"/>
    <xf numFmtId="4" fontId="1" fillId="0" borderId="0" xfId="0" applyNumberFormat="1" applyFont="1"/>
    <xf numFmtId="4" fontId="4" fillId="0" borderId="0" xfId="0" applyNumberFormat="1" applyFont="1"/>
    <xf numFmtId="49" fontId="1" fillId="0" borderId="0" xfId="0" applyNumberFormat="1" applyFont="1" applyAlignment="1">
      <alignment horizontal="center"/>
    </xf>
    <xf numFmtId="165" fontId="0" fillId="0" borderId="24" xfId="0" applyNumberFormat="1" applyBorder="1"/>
    <xf numFmtId="165" fontId="19" fillId="0" borderId="47" xfId="1" applyNumberFormat="1" applyFont="1" applyBorder="1" applyAlignment="1">
      <alignment horizontal="right"/>
    </xf>
    <xf numFmtId="165" fontId="0" fillId="9" borderId="29" xfId="0" applyNumberFormat="1" applyFill="1" applyBorder="1"/>
    <xf numFmtId="165" fontId="19" fillId="0" borderId="27" xfId="1" applyNumberFormat="1" applyFont="1" applyBorder="1" applyAlignment="1">
      <alignment horizontal="right"/>
    </xf>
    <xf numFmtId="165" fontId="0" fillId="9" borderId="45" xfId="0" applyNumberFormat="1" applyFill="1" applyBorder="1"/>
    <xf numFmtId="165" fontId="0" fillId="0" borderId="27" xfId="0" applyNumberFormat="1" applyBorder="1"/>
    <xf numFmtId="165" fontId="0" fillId="0" borderId="20" xfId="0" applyNumberFormat="1" applyBorder="1"/>
    <xf numFmtId="0" fontId="1" fillId="0" borderId="20" xfId="0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165" fontId="0" fillId="9" borderId="31" xfId="0" applyNumberFormat="1" applyFill="1" applyBorder="1"/>
    <xf numFmtId="165" fontId="0" fillId="9" borderId="42" xfId="0" applyNumberFormat="1" applyFill="1" applyBorder="1"/>
    <xf numFmtId="165" fontId="0" fillId="0" borderId="43" xfId="0" applyNumberFormat="1" applyBorder="1"/>
    <xf numFmtId="165" fontId="0" fillId="0" borderId="33" xfId="0" applyNumberFormat="1" applyBorder="1"/>
    <xf numFmtId="165" fontId="0" fillId="4" borderId="41" xfId="0" applyNumberFormat="1" applyFill="1" applyBorder="1"/>
    <xf numFmtId="165" fontId="0" fillId="4" borderId="29" xfId="0" applyNumberFormat="1" applyFill="1" applyBorder="1"/>
    <xf numFmtId="165" fontId="0" fillId="9" borderId="43" xfId="0" applyNumberFormat="1" applyFill="1" applyBorder="1"/>
    <xf numFmtId="165" fontId="0" fillId="9" borderId="33" xfId="0" applyNumberFormat="1" applyFill="1" applyBorder="1"/>
    <xf numFmtId="0" fontId="1" fillId="6" borderId="47" xfId="0" applyFont="1" applyFill="1" applyBorder="1"/>
    <xf numFmtId="0" fontId="14" fillId="6" borderId="0" xfId="0" applyFont="1" applyFill="1" applyAlignment="1">
      <alignment horizontal="center"/>
    </xf>
    <xf numFmtId="0" fontId="20" fillId="6" borderId="0" xfId="0" applyFont="1" applyFill="1"/>
    <xf numFmtId="0" fontId="14" fillId="6" borderId="0" xfId="0" applyFont="1" applyFill="1"/>
    <xf numFmtId="165" fontId="14" fillId="6" borderId="0" xfId="0" applyNumberFormat="1" applyFont="1" applyFill="1"/>
    <xf numFmtId="165" fontId="1" fillId="0" borderId="0" xfId="0" applyNumberFormat="1" applyFont="1"/>
    <xf numFmtId="0" fontId="9" fillId="10" borderId="5" xfId="0" applyFont="1" applyFill="1" applyBorder="1"/>
    <xf numFmtId="1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3" fontId="0" fillId="0" borderId="0" xfId="0" applyNumberFormat="1"/>
    <xf numFmtId="0" fontId="23" fillId="11" borderId="0" xfId="0" applyFont="1" applyFill="1"/>
    <xf numFmtId="4" fontId="1" fillId="0" borderId="0" xfId="0" applyNumberFormat="1" applyFont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0" fontId="1" fillId="6" borderId="18" xfId="0" applyFont="1" applyFill="1" applyBorder="1" applyAlignment="1">
      <alignment horizontal="center"/>
    </xf>
    <xf numFmtId="165" fontId="19" fillId="0" borderId="24" xfId="0" applyNumberFormat="1" applyFont="1" applyBorder="1"/>
    <xf numFmtId="0" fontId="25" fillId="0" borderId="0" xfId="0" applyFont="1"/>
    <xf numFmtId="165" fontId="25" fillId="0" borderId="0" xfId="0" applyNumberFormat="1" applyFont="1"/>
    <xf numFmtId="0" fontId="1" fillId="6" borderId="48" xfId="0" applyFont="1" applyFill="1" applyBorder="1"/>
    <xf numFmtId="165" fontId="1" fillId="6" borderId="49" xfId="0" applyNumberFormat="1" applyFont="1" applyFill="1" applyBorder="1"/>
    <xf numFmtId="165" fontId="1" fillId="6" borderId="50" xfId="0" applyNumberFormat="1" applyFont="1" applyFill="1" applyBorder="1"/>
    <xf numFmtId="0" fontId="14" fillId="8" borderId="19" xfId="0" applyFont="1" applyFill="1" applyBorder="1"/>
    <xf numFmtId="165" fontId="14" fillId="8" borderId="51" xfId="0" applyNumberFormat="1" applyFont="1" applyFill="1" applyBorder="1"/>
    <xf numFmtId="165" fontId="1" fillId="6" borderId="52" xfId="0" applyNumberFormat="1" applyFont="1" applyFill="1" applyBorder="1"/>
    <xf numFmtId="165" fontId="1" fillId="6" borderId="53" xfId="0" applyNumberFormat="1" applyFont="1" applyFill="1" applyBorder="1"/>
    <xf numFmtId="165" fontId="1" fillId="6" borderId="54" xfId="0" applyNumberFormat="1" applyFont="1" applyFill="1" applyBorder="1"/>
    <xf numFmtId="165" fontId="14" fillId="8" borderId="55" xfId="0" applyNumberFormat="1" applyFont="1" applyFill="1" applyBorder="1"/>
    <xf numFmtId="165" fontId="1" fillId="6" borderId="56" xfId="0" applyNumberFormat="1" applyFont="1" applyFill="1" applyBorder="1"/>
    <xf numFmtId="0" fontId="1" fillId="6" borderId="57" xfId="0" applyFont="1" applyFill="1" applyBorder="1"/>
    <xf numFmtId="165" fontId="0" fillId="0" borderId="58" xfId="0" applyNumberFormat="1" applyBorder="1"/>
    <xf numFmtId="165" fontId="0" fillId="0" borderId="59" xfId="0" applyNumberFormat="1" applyBorder="1"/>
    <xf numFmtId="165" fontId="0" fillId="4" borderId="60" xfId="0" applyNumberFormat="1" applyFill="1" applyBorder="1"/>
    <xf numFmtId="165" fontId="1" fillId="6" borderId="58" xfId="0" applyNumberFormat="1" applyFont="1" applyFill="1" applyBorder="1"/>
    <xf numFmtId="165" fontId="1" fillId="6" borderId="59" xfId="0" applyNumberFormat="1" applyFont="1" applyFill="1" applyBorder="1"/>
    <xf numFmtId="165" fontId="14" fillId="8" borderId="60" xfId="0" applyNumberFormat="1" applyFont="1" applyFill="1" applyBorder="1"/>
    <xf numFmtId="165" fontId="1" fillId="6" borderId="61" xfId="0" applyNumberFormat="1" applyFont="1" applyFill="1" applyBorder="1"/>
    <xf numFmtId="165" fontId="1" fillId="6" borderId="30" xfId="0" applyNumberFormat="1" applyFont="1" applyFill="1" applyBorder="1"/>
    <xf numFmtId="165" fontId="1" fillId="6" borderId="33" xfId="0" applyNumberFormat="1" applyFont="1" applyFill="1" applyBorder="1"/>
    <xf numFmtId="165" fontId="1" fillId="6" borderId="62" xfId="0" applyNumberFormat="1" applyFont="1" applyFill="1" applyBorder="1"/>
    <xf numFmtId="0" fontId="0" fillId="0" borderId="58" xfId="0" applyBorder="1"/>
    <xf numFmtId="0" fontId="0" fillId="0" borderId="59" xfId="0" applyBorder="1"/>
    <xf numFmtId="0" fontId="1" fillId="4" borderId="60" xfId="0" applyFont="1" applyFill="1" applyBorder="1"/>
    <xf numFmtId="0" fontId="19" fillId="0" borderId="0" xfId="0" applyFont="1"/>
    <xf numFmtId="165" fontId="19" fillId="0" borderId="0" xfId="0" applyNumberFormat="1" applyFont="1"/>
    <xf numFmtId="49" fontId="26" fillId="0" borderId="0" xfId="0" applyNumberFormat="1" applyFont="1" applyAlignment="1">
      <alignment horizontal="center" wrapText="1"/>
    </xf>
    <xf numFmtId="49" fontId="2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165" fontId="27" fillId="0" borderId="24" xfId="0" applyNumberFormat="1" applyFont="1" applyBorder="1"/>
    <xf numFmtId="0" fontId="18" fillId="0" borderId="0" xfId="0" applyFont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right"/>
    </xf>
    <xf numFmtId="0" fontId="1" fillId="6" borderId="19" xfId="0" applyFont="1" applyFill="1" applyBorder="1" applyAlignment="1">
      <alignment horizontal="center"/>
    </xf>
    <xf numFmtId="0" fontId="1" fillId="6" borderId="63" xfId="0" applyFont="1" applyFill="1" applyBorder="1" applyAlignment="1">
      <alignment horizontal="center" vertical="center"/>
    </xf>
    <xf numFmtId="165" fontId="0" fillId="0" borderId="50" xfId="0" applyNumberFormat="1" applyBorder="1"/>
    <xf numFmtId="165" fontId="0" fillId="0" borderId="51" xfId="0" applyNumberFormat="1" applyBorder="1"/>
    <xf numFmtId="165" fontId="0" fillId="0" borderId="52" xfId="0" applyNumberFormat="1" applyBorder="1"/>
    <xf numFmtId="165" fontId="0" fillId="0" borderId="65" xfId="0" applyNumberFormat="1" applyBorder="1"/>
    <xf numFmtId="165" fontId="0" fillId="0" borderId="64" xfId="0" applyNumberFormat="1" applyBorder="1"/>
    <xf numFmtId="14" fontId="0" fillId="0" borderId="0" xfId="0" applyNumberFormat="1"/>
    <xf numFmtId="4" fontId="0" fillId="0" borderId="0" xfId="0" applyNumberFormat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165" fontId="1" fillId="6" borderId="17" xfId="0" applyNumberFormat="1" applyFont="1" applyFill="1" applyBorder="1" applyAlignment="1">
      <alignment horizontal="center" vertical="center"/>
    </xf>
    <xf numFmtId="165" fontId="1" fillId="0" borderId="20" xfId="0" applyNumberFormat="1" applyFont="1" applyBorder="1"/>
    <xf numFmtId="165" fontId="1" fillId="6" borderId="17" xfId="0" applyNumberFormat="1" applyFont="1" applyFill="1" applyBorder="1"/>
    <xf numFmtId="165" fontId="26" fillId="0" borderId="0" xfId="0" applyNumberFormat="1" applyFont="1" applyAlignment="1">
      <alignment horizontal="center" vertical="center" wrapText="1"/>
    </xf>
    <xf numFmtId="49" fontId="1" fillId="6" borderId="20" xfId="0" applyNumberFormat="1" applyFont="1" applyFill="1" applyBorder="1" applyAlignment="1">
      <alignment horizontal="center"/>
    </xf>
    <xf numFmtId="49" fontId="1" fillId="6" borderId="21" xfId="0" applyNumberFormat="1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49" fontId="1" fillId="6" borderId="19" xfId="0" applyNumberFormat="1" applyFont="1" applyFill="1" applyBorder="1" applyAlignment="1">
      <alignment horizontal="center"/>
    </xf>
    <xf numFmtId="165" fontId="14" fillId="6" borderId="0" xfId="0" applyNumberFormat="1" applyFont="1" applyFill="1" applyAlignment="1">
      <alignment horizontal="center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2" defaultPivotStyle="PivotStyleLight16"/>
  <colors>
    <mruColors>
      <color rgb="FFFF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7621</xdr:rowOff>
    </xdr:from>
    <xdr:to>
      <xdr:col>19</xdr:col>
      <xdr:colOff>127434</xdr:colOff>
      <xdr:row>0</xdr:row>
      <xdr:rowOff>358141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33B66E2-D5AE-4547-A767-86E1D7F86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559" y="7621"/>
          <a:ext cx="2470439" cy="350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125506</xdr:rowOff>
    </xdr:from>
    <xdr:to>
      <xdr:col>2</xdr:col>
      <xdr:colOff>744431</xdr:colOff>
      <xdr:row>3</xdr:row>
      <xdr:rowOff>55388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E67BC2D0-1737-4038-9471-02C95B637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47" y="125506"/>
          <a:ext cx="1909843" cy="288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93"/>
  <sheetViews>
    <sheetView showGridLines="0" tabSelected="1" topLeftCell="C1" zoomScale="130" zoomScaleNormal="130" workbookViewId="0">
      <pane ySplit="2" topLeftCell="A3" activePane="bottomLeft" state="frozen"/>
      <selection pane="bottomLeft" activeCell="AA74" sqref="AA74"/>
    </sheetView>
  </sheetViews>
  <sheetFormatPr defaultColWidth="8.85546875" defaultRowHeight="15" x14ac:dyDescent="0.25"/>
  <cols>
    <col min="1" max="1" width="1.42578125" customWidth="1"/>
    <col min="2" max="2" width="2.7109375" style="124" customWidth="1"/>
    <col min="3" max="3" width="24.5703125" customWidth="1"/>
    <col min="4" max="4" width="10" hidden="1" customWidth="1"/>
    <col min="5" max="6" width="11.7109375" hidden="1" customWidth="1"/>
    <col min="7" max="7" width="10" hidden="1" customWidth="1"/>
    <col min="8" max="8" width="11.28515625" hidden="1" customWidth="1"/>
    <col min="9" max="9" width="11" hidden="1" customWidth="1"/>
    <col min="10" max="10" width="11.85546875" hidden="1" customWidth="1"/>
    <col min="11" max="11" width="11" hidden="1" customWidth="1"/>
    <col min="12" max="12" width="10.7109375" hidden="1" customWidth="1"/>
    <col min="13" max="13" width="10.42578125" hidden="1" customWidth="1"/>
    <col min="14" max="14" width="10.7109375" hidden="1" customWidth="1"/>
    <col min="15" max="15" width="10.42578125" hidden="1" customWidth="1"/>
    <col min="16" max="16" width="10.7109375" hidden="1" customWidth="1"/>
    <col min="17" max="17" width="10.42578125" hidden="1" customWidth="1"/>
    <col min="18" max="18" width="10.7109375" hidden="1" customWidth="1"/>
    <col min="19" max="19" width="10.7109375" customWidth="1"/>
    <col min="20" max="20" width="10.7109375" style="86" customWidth="1"/>
    <col min="21" max="21" width="10.7109375" customWidth="1"/>
    <col min="22" max="22" width="10.7109375" style="86" customWidth="1"/>
    <col min="23" max="23" width="10.7109375" customWidth="1"/>
    <col min="24" max="24" width="10.7109375" style="86" customWidth="1"/>
    <col min="25" max="25" width="3" customWidth="1"/>
    <col min="26" max="26" width="8.5703125" bestFit="1" customWidth="1"/>
    <col min="27" max="27" width="16.28515625" bestFit="1" customWidth="1"/>
    <col min="28" max="28" width="9" customWidth="1"/>
  </cols>
  <sheetData>
    <row r="1" spans="2:28" ht="29.25" customHeight="1" thickBot="1" x14ac:dyDescent="0.55000000000000004">
      <c r="E1" s="90"/>
      <c r="F1" s="90"/>
      <c r="G1" s="90" t="s">
        <v>205</v>
      </c>
      <c r="R1" s="231"/>
      <c r="S1" s="231"/>
      <c r="U1" s="231"/>
      <c r="W1" s="231"/>
    </row>
    <row r="2" spans="2:28" ht="16.5" thickTop="1" thickBot="1" x14ac:dyDescent="0.3">
      <c r="C2" s="120"/>
      <c r="D2" s="181">
        <v>2015</v>
      </c>
      <c r="E2" s="181">
        <v>2016</v>
      </c>
      <c r="F2" s="224">
        <v>2016</v>
      </c>
      <c r="G2" s="242">
        <v>2017</v>
      </c>
      <c r="H2" s="240"/>
      <c r="I2" s="243" t="s">
        <v>273</v>
      </c>
      <c r="J2" s="239"/>
      <c r="K2" s="238" t="s">
        <v>289</v>
      </c>
      <c r="L2" s="239"/>
      <c r="M2" s="238" t="s">
        <v>280</v>
      </c>
      <c r="N2" s="239"/>
      <c r="O2" s="238" t="s">
        <v>292</v>
      </c>
      <c r="P2" s="239"/>
      <c r="Q2" s="238" t="s">
        <v>301</v>
      </c>
      <c r="R2" s="239"/>
      <c r="S2" s="238" t="s">
        <v>310</v>
      </c>
      <c r="T2" s="239"/>
      <c r="U2" s="238" t="s">
        <v>315</v>
      </c>
      <c r="V2" s="239"/>
      <c r="W2" s="238" t="s">
        <v>319</v>
      </c>
      <c r="X2" s="239"/>
      <c r="Z2" t="s">
        <v>318</v>
      </c>
      <c r="AA2" t="s">
        <v>317</v>
      </c>
    </row>
    <row r="3" spans="2:28" ht="46.5" thickTop="1" thickBot="1" x14ac:dyDescent="0.55000000000000004">
      <c r="C3" s="117" t="s">
        <v>222</v>
      </c>
      <c r="D3" s="64"/>
      <c r="E3" s="64"/>
      <c r="F3" s="64"/>
      <c r="G3" s="155"/>
      <c r="H3" s="155"/>
      <c r="I3" s="155"/>
      <c r="J3" s="156"/>
      <c r="K3" s="155"/>
      <c r="L3" s="147"/>
      <c r="M3" s="147"/>
      <c r="N3" s="211"/>
      <c r="O3" s="147"/>
      <c r="P3" s="212"/>
      <c r="Q3" s="147"/>
      <c r="R3" s="212"/>
      <c r="S3" s="147"/>
      <c r="T3" s="233"/>
      <c r="U3" s="147"/>
      <c r="V3" s="237" t="s">
        <v>324</v>
      </c>
      <c r="W3" s="147"/>
      <c r="X3" s="233"/>
    </row>
    <row r="4" spans="2:28" s="214" customFormat="1" ht="16.5" thickTop="1" thickBot="1" x14ac:dyDescent="0.3">
      <c r="B4" s="217" t="s">
        <v>155</v>
      </c>
      <c r="C4" s="218" t="s">
        <v>184</v>
      </c>
      <c r="D4" s="219" t="s">
        <v>186</v>
      </c>
      <c r="E4" s="220" t="s">
        <v>186</v>
      </c>
      <c r="F4" s="225" t="s">
        <v>309</v>
      </c>
      <c r="G4" s="218" t="s">
        <v>185</v>
      </c>
      <c r="H4" s="220" t="s">
        <v>186</v>
      </c>
      <c r="I4" s="221" t="s">
        <v>185</v>
      </c>
      <c r="J4" s="222" t="s">
        <v>186</v>
      </c>
      <c r="K4" s="221" t="s">
        <v>185</v>
      </c>
      <c r="L4" s="222" t="s">
        <v>186</v>
      </c>
      <c r="M4" s="221" t="s">
        <v>185</v>
      </c>
      <c r="N4" s="222" t="s">
        <v>186</v>
      </c>
      <c r="O4" s="221" t="s">
        <v>185</v>
      </c>
      <c r="P4" s="222" t="s">
        <v>186</v>
      </c>
      <c r="Q4" s="221" t="s">
        <v>185</v>
      </c>
      <c r="R4" s="222" t="s">
        <v>186</v>
      </c>
      <c r="S4" s="221" t="s">
        <v>185</v>
      </c>
      <c r="T4" s="234" t="s">
        <v>186</v>
      </c>
      <c r="U4" s="221" t="s">
        <v>185</v>
      </c>
      <c r="V4" s="234" t="s">
        <v>186</v>
      </c>
      <c r="W4" s="221" t="s">
        <v>185</v>
      </c>
      <c r="X4" s="234" t="s">
        <v>186</v>
      </c>
    </row>
    <row r="5" spans="2:28" ht="16.5" thickTop="1" thickBot="1" x14ac:dyDescent="0.3">
      <c r="B5" s="124" t="s">
        <v>155</v>
      </c>
      <c r="C5" s="68" t="s">
        <v>187</v>
      </c>
      <c r="D5" s="69">
        <f>SUM(D7+D29+D45)</f>
        <v>-368630</v>
      </c>
      <c r="E5" s="92">
        <f>SUM(E7+E29+E45)</f>
        <v>-240551.48</v>
      </c>
      <c r="F5" s="92">
        <f>SUM(F7+F29+F45)</f>
        <v>-293752.88999999996</v>
      </c>
      <c r="G5" s="69">
        <f>SUM(G7+G29+G45)</f>
        <v>-174705.05000000002</v>
      </c>
      <c r="H5" s="92">
        <f>SUM(H7+H29+H45)</f>
        <v>-189274.57000000004</v>
      </c>
      <c r="I5" s="97">
        <f t="shared" ref="I5:L5" si="0">SUM(I7+I29+I45)</f>
        <v>-142612.49</v>
      </c>
      <c r="J5" s="69">
        <f t="shared" si="0"/>
        <v>-191292.09000000003</v>
      </c>
      <c r="K5" s="97">
        <f>SUM(K7+K29+K45)</f>
        <v>-152893.89000000001</v>
      </c>
      <c r="L5" s="69">
        <f t="shared" si="0"/>
        <v>-227573.35</v>
      </c>
      <c r="M5" s="97">
        <f t="shared" ref="M5:O5" si="1">SUM(M7+M29+M45)</f>
        <v>-136913.67000000001</v>
      </c>
      <c r="N5" s="69">
        <f t="shared" ref="N5:Q5" si="2">SUM(N7+N29+N45)</f>
        <v>-129951.64</v>
      </c>
      <c r="O5" s="97">
        <f t="shared" si="1"/>
        <v>-171938.61000000002</v>
      </c>
      <c r="P5" s="69">
        <f t="shared" si="2"/>
        <v>-161597.48000000001</v>
      </c>
      <c r="Q5" s="97">
        <f t="shared" si="2"/>
        <v>-180985.11</v>
      </c>
      <c r="R5" s="69">
        <f t="shared" ref="R5:S5" si="3">SUM(R7+R29+R45)</f>
        <v>-179997.93</v>
      </c>
      <c r="S5" s="97">
        <f t="shared" si="3"/>
        <v>-200292.99000000002</v>
      </c>
      <c r="T5" s="69">
        <f t="shared" ref="T5:U5" si="4">SUM(T7+T29+T45)</f>
        <v>-195953.74</v>
      </c>
      <c r="U5" s="97">
        <f t="shared" si="4"/>
        <v>-210561.17</v>
      </c>
      <c r="V5" s="69">
        <f t="shared" ref="V5:W5" si="5">SUM(V7+V29+V45)</f>
        <v>-203535.50999999998</v>
      </c>
      <c r="W5" s="97">
        <f t="shared" si="5"/>
        <v>-199113.97329999998</v>
      </c>
      <c r="X5" s="69">
        <f t="shared" ref="X5" si="6">SUM(X7+X29+X45)</f>
        <v>0</v>
      </c>
      <c r="Z5" s="131">
        <f>T5/S5</f>
        <v>0.97833548742769261</v>
      </c>
      <c r="AA5" s="131">
        <f>V5/U5</f>
        <v>0.96663363905130262</v>
      </c>
      <c r="AB5" s="131"/>
    </row>
    <row r="6" spans="2:28" ht="16.5" thickTop="1" thickBot="1" x14ac:dyDescent="0.3">
      <c r="C6" s="70"/>
      <c r="D6" s="71"/>
      <c r="E6" s="71"/>
      <c r="F6" s="71"/>
      <c r="G6" s="70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235"/>
      <c r="U6" s="71"/>
      <c r="V6" s="235"/>
      <c r="W6" s="71"/>
      <c r="X6" s="235"/>
      <c r="Z6" s="131"/>
    </row>
    <row r="7" spans="2:28" ht="15.75" thickTop="1" x14ac:dyDescent="0.25">
      <c r="B7" s="124" t="s">
        <v>228</v>
      </c>
      <c r="C7" s="72" t="s">
        <v>188</v>
      </c>
      <c r="D7" s="73">
        <f>SUM(D8+D24)</f>
        <v>-107760</v>
      </c>
      <c r="E7" s="93">
        <f>SUM(E8+E24)</f>
        <v>-57788.570000000007</v>
      </c>
      <c r="F7" s="93">
        <f>SUM(F8+F24)</f>
        <v>-85156</v>
      </c>
      <c r="G7" s="101">
        <f>-'2015 -  2016'!S70</f>
        <v>-42436.69</v>
      </c>
      <c r="H7" s="93">
        <f>SUM(H8+H24)</f>
        <v>-66740.440000000031</v>
      </c>
      <c r="I7" s="98">
        <f t="shared" ref="I7:O7" si="7">SUM(I8+I24)</f>
        <v>-49323.81</v>
      </c>
      <c r="J7" s="93">
        <f t="shared" si="7"/>
        <v>-58361.770000000004</v>
      </c>
      <c r="K7" s="104">
        <f t="shared" si="7"/>
        <v>-59880.610000000008</v>
      </c>
      <c r="L7" s="89">
        <f t="shared" si="7"/>
        <v>-91396.270000000019</v>
      </c>
      <c r="M7" s="104">
        <f t="shared" ref="M7" si="8">SUM(M8+M24)</f>
        <v>-61227.290000000008</v>
      </c>
      <c r="N7" s="89">
        <f t="shared" ref="N7:Q7" si="9">SUM(N8+N24)</f>
        <v>-65147.740000000005</v>
      </c>
      <c r="O7" s="104">
        <f t="shared" si="7"/>
        <v>-75184.23000000001</v>
      </c>
      <c r="P7" s="89">
        <f t="shared" si="9"/>
        <v>-76944.92</v>
      </c>
      <c r="Q7" s="104">
        <f t="shared" si="9"/>
        <v>-76795.25</v>
      </c>
      <c r="R7" s="89">
        <f t="shared" ref="R7:S7" si="10">SUM(R8+R24)</f>
        <v>-78443.44</v>
      </c>
      <c r="S7" s="104">
        <f t="shared" si="10"/>
        <v>-81816.53</v>
      </c>
      <c r="T7" s="89">
        <f t="shared" ref="T7:V7" si="11">SUM(T8+T24)</f>
        <v>-80697.059999999983</v>
      </c>
      <c r="U7" s="104">
        <f>SUM(U8+U24)</f>
        <v>-84566.57</v>
      </c>
      <c r="V7" s="89">
        <f t="shared" si="11"/>
        <v>-86756.859999999986</v>
      </c>
      <c r="W7" s="104">
        <f>SUM(W8+W24)</f>
        <v>-89622.943549999996</v>
      </c>
      <c r="X7" s="89">
        <f t="shared" ref="X7" si="12">SUM(X8+X24)</f>
        <v>0</v>
      </c>
      <c r="Z7" s="131">
        <f t="shared" ref="Z7:Z20" si="13">T7/S7</f>
        <v>0.98631731265063405</v>
      </c>
      <c r="AA7" s="131">
        <f>V7/U7</f>
        <v>1.0259001872725828</v>
      </c>
      <c r="AB7" s="131"/>
    </row>
    <row r="8" spans="2:28" x14ac:dyDescent="0.25">
      <c r="B8" s="124" t="s">
        <v>228</v>
      </c>
      <c r="C8" s="74" t="s">
        <v>189</v>
      </c>
      <c r="D8" s="75">
        <f>-SUM(D9:D23)</f>
        <v>-52460</v>
      </c>
      <c r="E8" s="94">
        <f>-SUM(E9:E23)</f>
        <v>-38063.800000000003</v>
      </c>
      <c r="F8" s="94">
        <f>-SUM(F9:F23)</f>
        <v>-35988.230000000003</v>
      </c>
      <c r="G8" s="102">
        <f>-SUM(G9:G23)</f>
        <v>-26236.73</v>
      </c>
      <c r="H8" s="94">
        <f>SUM(H9:H23)</f>
        <v>-31920.460000000021</v>
      </c>
      <c r="I8" s="99">
        <f t="shared" ref="I8:O8" si="14">SUM(I9:I23)</f>
        <v>-26803.05</v>
      </c>
      <c r="J8" s="94">
        <f t="shared" si="14"/>
        <v>-25976.040000000005</v>
      </c>
      <c r="K8" s="102">
        <f t="shared" si="14"/>
        <v>-22519.65</v>
      </c>
      <c r="L8" s="76">
        <f t="shared" si="14"/>
        <v>-52817.880000000012</v>
      </c>
      <c r="M8" s="102">
        <f t="shared" si="14"/>
        <v>-23866.33</v>
      </c>
      <c r="N8" s="76">
        <f>SUM(N9:N23)</f>
        <v>-25434.67</v>
      </c>
      <c r="O8" s="102">
        <f t="shared" si="14"/>
        <v>-37803.270000000004</v>
      </c>
      <c r="P8" s="76">
        <f t="shared" ref="P8:Q8" si="15">SUM(P9:P23)</f>
        <v>-37491.760000000002</v>
      </c>
      <c r="Q8" s="102">
        <f t="shared" si="15"/>
        <v>-37040.370000000003</v>
      </c>
      <c r="R8" s="76">
        <f t="shared" ref="R8:S8" si="16">SUM(R9:R23)</f>
        <v>-36644.39</v>
      </c>
      <c r="S8" s="102">
        <f t="shared" si="16"/>
        <v>-37140.370000000003</v>
      </c>
      <c r="T8" s="76">
        <f t="shared" ref="T8:U8" si="17">SUM(T9:T23)</f>
        <v>-38232.69999999999</v>
      </c>
      <c r="U8" s="102">
        <f t="shared" si="17"/>
        <v>-39202.57</v>
      </c>
      <c r="V8" s="76">
        <f t="shared" ref="V8:W8" si="18">SUM(V9:V23)</f>
        <v>-39212.239999999991</v>
      </c>
      <c r="W8" s="102">
        <f t="shared" si="18"/>
        <v>-41056</v>
      </c>
      <c r="X8" s="76">
        <f t="shared" ref="X8" si="19">SUM(X9:X23)</f>
        <v>0</v>
      </c>
      <c r="Z8" s="131">
        <f t="shared" si="13"/>
        <v>1.0294108540114164</v>
      </c>
      <c r="AA8" s="131">
        <f t="shared" ref="AA8:AA27" si="20">V8/U8</f>
        <v>1.0002466675016457</v>
      </c>
      <c r="AB8" s="131"/>
    </row>
    <row r="9" spans="2:28" x14ac:dyDescent="0.25">
      <c r="B9" s="124" t="s">
        <v>228</v>
      </c>
      <c r="C9" s="77" t="s">
        <v>4</v>
      </c>
      <c r="D9" s="78">
        <f>'2015 -  2016'!J8</f>
        <v>500</v>
      </c>
      <c r="E9" s="95">
        <f>'2015 -  2016'!Q8</f>
        <v>799.42</v>
      </c>
      <c r="F9" s="226">
        <v>799.42</v>
      </c>
      <c r="G9" s="114">
        <v>500</v>
      </c>
      <c r="H9" s="133">
        <f>' výsledovky 17-22-24'!V3</f>
        <v>-299.29000000000002</v>
      </c>
      <c r="I9" s="100">
        <v>-300</v>
      </c>
      <c r="J9" s="133">
        <f>' výsledovky 17-22-24'!Y3</f>
        <v>-230.76</v>
      </c>
      <c r="K9" s="148">
        <v>-300</v>
      </c>
      <c r="L9" s="115">
        <f>' výsledovky 17-22-24'!AA3</f>
        <v>-206.17</v>
      </c>
      <c r="M9" s="148">
        <v>-300</v>
      </c>
      <c r="N9" s="115">
        <f>' výsledovky 17-22-24'!AC3</f>
        <v>-115.53</v>
      </c>
      <c r="O9" s="148">
        <v>-300</v>
      </c>
      <c r="P9" s="115">
        <f>' výsledovky 17-22-24'!AE3</f>
        <v>-64.040000000000006</v>
      </c>
      <c r="Q9" s="148">
        <v>-100</v>
      </c>
      <c r="R9" s="115">
        <f>' výsledovky 17-22-24'!AG3</f>
        <v>-356.6</v>
      </c>
      <c r="S9" s="148">
        <v>-200</v>
      </c>
      <c r="T9" s="115">
        <f>' výsledovky 17-22-24'!AI3</f>
        <v>-367.97</v>
      </c>
      <c r="U9" s="148">
        <v>-300</v>
      </c>
      <c r="V9" s="115">
        <f>' výsledovky 17-22-24'!AK3</f>
        <v>-126.54</v>
      </c>
      <c r="W9" s="148">
        <v>-300</v>
      </c>
      <c r="X9" s="115">
        <f>' výsledovky 17-22-24'!AM3</f>
        <v>0</v>
      </c>
      <c r="Z9" s="131">
        <f t="shared" si="13"/>
        <v>1.8398500000000002</v>
      </c>
      <c r="AA9" s="131">
        <f t="shared" si="20"/>
        <v>0.42180000000000001</v>
      </c>
      <c r="AB9" s="131"/>
    </row>
    <row r="10" spans="2:28" x14ac:dyDescent="0.25">
      <c r="B10" s="124" t="s">
        <v>228</v>
      </c>
      <c r="C10" s="77" t="s">
        <v>5</v>
      </c>
      <c r="D10" s="78">
        <f>'2015 -  2016'!J9+'2015 -  2016'!J7+'2015 -  2016'!J18+'2015 -  2016'!J21</f>
        <v>5310</v>
      </c>
      <c r="E10" s="95">
        <f>'2015 -  2016'!Q9</f>
        <v>3330.62</v>
      </c>
      <c r="F10" s="226">
        <v>1365.56</v>
      </c>
      <c r="G10" s="114">
        <v>100</v>
      </c>
      <c r="H10" s="133">
        <f>' výsledovky 17-22-24'!V4</f>
        <v>-72.5</v>
      </c>
      <c r="I10" s="100">
        <f>-G10</f>
        <v>-100</v>
      </c>
      <c r="J10" s="133">
        <f>' výsledovky 17-22-24'!Y4</f>
        <v>-1211.17</v>
      </c>
      <c r="K10" s="148">
        <f>I10</f>
        <v>-100</v>
      </c>
      <c r="L10" s="115">
        <f>' výsledovky 17-22-24'!AA4</f>
        <v>-241.12</v>
      </c>
      <c r="M10" s="148">
        <v>-2000</v>
      </c>
      <c r="N10" s="115">
        <f>' výsledovky 17-22-24'!AC4</f>
        <v>-413.19</v>
      </c>
      <c r="O10" s="148">
        <v>-1000</v>
      </c>
      <c r="P10" s="115">
        <f>' výsledovky 17-22-24'!AE4</f>
        <v>-662.69</v>
      </c>
      <c r="Q10" s="148">
        <v>-500</v>
      </c>
      <c r="R10" s="115">
        <f>' výsledovky 17-22-24'!AG4</f>
        <v>-568.91</v>
      </c>
      <c r="S10" s="148">
        <v>-500</v>
      </c>
      <c r="T10" s="115">
        <f>' výsledovky 17-22-24'!AI4</f>
        <v>-739.61</v>
      </c>
      <c r="U10" s="148">
        <v>-600</v>
      </c>
      <c r="V10" s="115">
        <f>' výsledovky 17-22-24'!AK4</f>
        <v>-395.58</v>
      </c>
      <c r="W10" s="148">
        <v>-600</v>
      </c>
      <c r="X10" s="115">
        <f>' výsledovky 17-22-24'!AM4</f>
        <v>0</v>
      </c>
      <c r="Z10" s="131">
        <f t="shared" si="13"/>
        <v>1.47922</v>
      </c>
      <c r="AA10" s="131">
        <f t="shared" si="20"/>
        <v>0.6593</v>
      </c>
      <c r="AB10" s="131"/>
    </row>
    <row r="11" spans="2:28" x14ac:dyDescent="0.25">
      <c r="B11" s="124" t="s">
        <v>228</v>
      </c>
      <c r="C11" s="77" t="s">
        <v>8</v>
      </c>
      <c r="D11" s="78">
        <f>'2015 -  2016'!J17</f>
        <v>500</v>
      </c>
      <c r="E11" s="78">
        <f>'2015 -  2016'!Q17</f>
        <v>415.11</v>
      </c>
      <c r="F11" s="100">
        <v>367.11</v>
      </c>
      <c r="G11" s="114">
        <v>200</v>
      </c>
      <c r="H11" s="133">
        <f>' výsledovky 17-22-24'!V16</f>
        <v>-43.7</v>
      </c>
      <c r="I11" s="100">
        <v>-100</v>
      </c>
      <c r="J11" s="133">
        <f>' výsledovky 17-22-24'!Y16</f>
        <v>-409.95</v>
      </c>
      <c r="K11" s="148">
        <v>-100</v>
      </c>
      <c r="L11" s="115">
        <f>' výsledovky 17-22-24'!AA16</f>
        <v>-36.83</v>
      </c>
      <c r="M11" s="148">
        <v>-100</v>
      </c>
      <c r="N11" s="115">
        <f>' výsledovky 17-22-24'!AC16</f>
        <v>-16.07</v>
      </c>
      <c r="O11" s="148">
        <v>-50</v>
      </c>
      <c r="P11" s="115">
        <f>' výsledovky 17-22-24'!AE16</f>
        <v>-31.64</v>
      </c>
      <c r="Q11" s="148">
        <v>-50</v>
      </c>
      <c r="R11" s="115">
        <f>' výsledovky 17-22-24'!AG16</f>
        <v>-63.24</v>
      </c>
      <c r="S11" s="148">
        <v>-50</v>
      </c>
      <c r="T11" s="115">
        <f>' výsledovky 17-22-24'!AI16</f>
        <v>-53.15</v>
      </c>
      <c r="U11" s="148">
        <v>-50</v>
      </c>
      <c r="V11" s="115">
        <f>' výsledovky 17-22-24'!AK16</f>
        <v>-100.76</v>
      </c>
      <c r="W11" s="148">
        <v>-50</v>
      </c>
      <c r="X11" s="115">
        <f>' výsledovky 17-22-24'!AM16</f>
        <v>0</v>
      </c>
      <c r="Z11" s="131">
        <f t="shared" si="13"/>
        <v>1.0629999999999999</v>
      </c>
      <c r="AA11" s="131">
        <f t="shared" si="20"/>
        <v>2.0152000000000001</v>
      </c>
      <c r="AB11" s="131"/>
    </row>
    <row r="12" spans="2:28" x14ac:dyDescent="0.25">
      <c r="B12" s="124" t="s">
        <v>228</v>
      </c>
      <c r="C12" s="77" t="s">
        <v>9</v>
      </c>
      <c r="D12" s="95">
        <f>'2015 -  2016'!J39</f>
        <v>13000</v>
      </c>
      <c r="E12" s="95">
        <f>'2015 -  2016'!Q39</f>
        <v>13184</v>
      </c>
      <c r="F12" s="226">
        <f>13184</f>
        <v>13184</v>
      </c>
      <c r="G12" s="114">
        <v>13184</v>
      </c>
      <c r="H12" s="133">
        <f>' výsledovky 17-22-24'!V28</f>
        <v>-13204</v>
      </c>
      <c r="I12" s="100">
        <f>-G12</f>
        <v>-13184</v>
      </c>
      <c r="J12" s="133">
        <f>' výsledovky 17-22-24'!Y28</f>
        <v>-13264</v>
      </c>
      <c r="K12" s="148">
        <f>I12</f>
        <v>-13184</v>
      </c>
      <c r="L12" s="115">
        <f>' výsledovky 17-22-24'!AA28</f>
        <v>-13264</v>
      </c>
      <c r="M12" s="148">
        <f>I12</f>
        <v>-13184</v>
      </c>
      <c r="N12" s="115">
        <f>' výsledovky 17-22-24'!AC28</f>
        <v>-13264</v>
      </c>
      <c r="O12" s="148">
        <f>K12</f>
        <v>-13184</v>
      </c>
      <c r="P12" s="115">
        <f>' výsledovky 17-22-24'!AE28</f>
        <v>-13264</v>
      </c>
      <c r="Q12" s="148">
        <f>P12</f>
        <v>-13264</v>
      </c>
      <c r="R12" s="115">
        <f>' výsledovky 17-22-24'!AG28</f>
        <v>-13264</v>
      </c>
      <c r="S12" s="148">
        <f>Q12</f>
        <v>-13264</v>
      </c>
      <c r="T12" s="115">
        <f>' výsledovky 17-22-24'!AI28</f>
        <v>-13264</v>
      </c>
      <c r="U12" s="148">
        <f>S12</f>
        <v>-13264</v>
      </c>
      <c r="V12" s="79">
        <f>' výsledovky 17-22-24'!AK28</f>
        <v>-13264</v>
      </c>
      <c r="W12" s="148">
        <f>U12</f>
        <v>-13264</v>
      </c>
      <c r="X12" s="115">
        <f>' výsledovky 17-22-24'!AM28</f>
        <v>0</v>
      </c>
      <c r="Z12" s="131">
        <f t="shared" si="13"/>
        <v>1</v>
      </c>
      <c r="AA12" s="131">
        <f t="shared" si="20"/>
        <v>1</v>
      </c>
      <c r="AB12" s="131"/>
    </row>
    <row r="13" spans="2:28" x14ac:dyDescent="0.25">
      <c r="B13" s="124" t="s">
        <v>228</v>
      </c>
      <c r="C13" s="77" t="s">
        <v>10</v>
      </c>
      <c r="D13" s="78">
        <f>'2015 -  2016'!J14+'2015 -  2016'!J15+'2015 -  2016'!J40</f>
        <v>4450</v>
      </c>
      <c r="E13" s="78">
        <f>'2015 -  2016'!Q14+'2015 -  2016'!Q15+'2015 -  2016'!Q40</f>
        <v>4470.4799999999996</v>
      </c>
      <c r="F13" s="100">
        <v>3818.52</v>
      </c>
      <c r="G13" s="114">
        <f>700+3818.52</f>
        <v>4518.5200000000004</v>
      </c>
      <c r="H13" s="133">
        <f>' výsledovky 17-22-24'!V29</f>
        <v>-3649.65</v>
      </c>
      <c r="I13" s="100">
        <f>-G13</f>
        <v>-4518.5200000000004</v>
      </c>
      <c r="J13" s="133">
        <f>' výsledovky 17-22-24'!Y29</f>
        <v>-3654.3</v>
      </c>
      <c r="K13" s="148">
        <f>I13</f>
        <v>-4518.5200000000004</v>
      </c>
      <c r="L13" s="115">
        <f>' výsledovky 17-22-24'!AA29+' výsledovky 17-22-24'!AA33</f>
        <v>-23588.85</v>
      </c>
      <c r="M13" s="148">
        <v>-4500</v>
      </c>
      <c r="N13" s="115">
        <f>' výsledovky 17-22-24'!AC29+' výsledovky 17-22-24'!AC33</f>
        <v>-3497.34</v>
      </c>
      <c r="O13" s="148">
        <v>-4500</v>
      </c>
      <c r="P13" s="115">
        <f>' výsledovky 17-22-24'!AE29+' výsledovky 17-22-24'!AE33</f>
        <v>-3710.44</v>
      </c>
      <c r="Q13" s="148">
        <v>-4500</v>
      </c>
      <c r="R13" s="115">
        <f>' výsledovky 17-22-24'!AG29+' výsledovky 17-22-24'!AG33</f>
        <v>-3958.43</v>
      </c>
      <c r="S13" s="148">
        <v>-4500</v>
      </c>
      <c r="T13" s="115">
        <f>' výsledovky 17-22-24'!AI29+' výsledovky 17-22-24'!AI33</f>
        <v>-5816.35</v>
      </c>
      <c r="U13" s="148">
        <v>-6000</v>
      </c>
      <c r="V13" s="79">
        <f>' výsledovky 17-22-24'!AK29+' výsledovky 17-22-24'!AK33</f>
        <v>-5339.64</v>
      </c>
      <c r="W13" s="148">
        <v>-6000</v>
      </c>
      <c r="X13" s="115">
        <f>' výsledovky 17-22-24'!AM29+' výsledovky 17-22-24'!AM33</f>
        <v>0</v>
      </c>
      <c r="Z13" s="131">
        <f t="shared" si="13"/>
        <v>1.2925222222222224</v>
      </c>
      <c r="AA13" s="131">
        <f t="shared" si="20"/>
        <v>0.88994000000000006</v>
      </c>
      <c r="AB13" s="131"/>
    </row>
    <row r="14" spans="2:28" x14ac:dyDescent="0.25">
      <c r="B14" s="124" t="s">
        <v>228</v>
      </c>
      <c r="C14" s="77" t="s">
        <v>11</v>
      </c>
      <c r="D14" s="78">
        <f>'2015 -  2016'!J41</f>
        <v>1000</v>
      </c>
      <c r="E14" s="78">
        <f>'2015 -  2016'!Q41</f>
        <v>1139.27</v>
      </c>
      <c r="F14" s="100">
        <v>1139.27</v>
      </c>
      <c r="G14" s="114">
        <v>1139.27</v>
      </c>
      <c r="H14" s="133">
        <f>' výsledovky 17-22-24'!V30</f>
        <v>-1139.27</v>
      </c>
      <c r="I14" s="100">
        <f>-G14</f>
        <v>-1139.27</v>
      </c>
      <c r="J14" s="133">
        <f>' výsledovky 17-22-24'!Y30</f>
        <v>-1139.27</v>
      </c>
      <c r="K14" s="148">
        <f>I14</f>
        <v>-1139.27</v>
      </c>
      <c r="L14" s="115">
        <f>' výsledovky 17-22-24'!AA30</f>
        <v>-1139.27</v>
      </c>
      <c r="M14" s="148">
        <f>I14</f>
        <v>-1139.27</v>
      </c>
      <c r="N14" s="115">
        <f>' výsledovky 17-22-24'!AC30</f>
        <v>-1139.27</v>
      </c>
      <c r="O14" s="148">
        <f>K14</f>
        <v>-1139.27</v>
      </c>
      <c r="P14" s="115">
        <f>' výsledovky 17-22-24'!AE30</f>
        <v>-1139.27</v>
      </c>
      <c r="Q14" s="148">
        <f>M14</f>
        <v>-1139.27</v>
      </c>
      <c r="R14" s="115">
        <f>' výsledovky 17-22-24'!AG30</f>
        <v>-1139.27</v>
      </c>
      <c r="S14" s="148">
        <f>O14</f>
        <v>-1139.27</v>
      </c>
      <c r="T14" s="115">
        <f>' výsledovky 17-22-24'!AI30</f>
        <v>-1151.67</v>
      </c>
      <c r="U14" s="148">
        <f>T14</f>
        <v>-1151.67</v>
      </c>
      <c r="V14" s="79">
        <f>' výsledovky 17-22-24'!AK30</f>
        <v>-1139.27</v>
      </c>
      <c r="W14" s="148">
        <v>-1250</v>
      </c>
      <c r="X14" s="115">
        <f>' výsledovky 17-22-24'!AM30</f>
        <v>0</v>
      </c>
      <c r="Z14" s="131">
        <f t="shared" si="13"/>
        <v>1.0108841626655667</v>
      </c>
      <c r="AA14" s="131">
        <f t="shared" si="20"/>
        <v>0.98923302682191938</v>
      </c>
      <c r="AB14" s="131"/>
    </row>
    <row r="15" spans="2:28" x14ac:dyDescent="0.25">
      <c r="B15" s="124" t="s">
        <v>228</v>
      </c>
      <c r="C15" s="77" t="s">
        <v>39</v>
      </c>
      <c r="D15" s="78">
        <f>'2015 -  2016'!J42</f>
        <v>5900</v>
      </c>
      <c r="E15" s="78">
        <f>'2015 -  2016'!Q42</f>
        <v>3224.45</v>
      </c>
      <c r="F15" s="100">
        <v>3224.45</v>
      </c>
      <c r="G15" s="114">
        <v>2700</v>
      </c>
      <c r="H15" s="133">
        <f>' výsledovky 17-22-24'!V32</f>
        <v>-2304.9499999999998</v>
      </c>
      <c r="I15" s="100">
        <f>-G15</f>
        <v>-2700</v>
      </c>
      <c r="J15" s="133">
        <f>' výsledovky 17-22-24'!Y32</f>
        <v>-1685.09</v>
      </c>
      <c r="K15" s="148">
        <f>140*12</f>
        <v>1680</v>
      </c>
      <c r="L15" s="115">
        <f>' výsledovky 17-22-24'!AA32</f>
        <v>-1301.54</v>
      </c>
      <c r="M15" s="148">
        <f>140*12</f>
        <v>1680</v>
      </c>
      <c r="N15" s="115">
        <f>' výsledovky 17-22-24'!AC32</f>
        <v>-1223.26</v>
      </c>
      <c r="O15" s="148">
        <v>-1302</v>
      </c>
      <c r="P15" s="115">
        <f>' výsledovky 17-22-24'!AE32</f>
        <v>-994.26</v>
      </c>
      <c r="Q15" s="148">
        <v>-1000</v>
      </c>
      <c r="R15" s="115">
        <f>' výsledovky 17-22-24'!AG32</f>
        <v>-1180.4100000000001</v>
      </c>
      <c r="S15" s="148">
        <v>-1000</v>
      </c>
      <c r="T15" s="115">
        <f>' výsledovky 17-22-24'!AI32</f>
        <v>-1254.8800000000001</v>
      </c>
      <c r="U15" s="148">
        <f>T15</f>
        <v>-1254.8800000000001</v>
      </c>
      <c r="V15" s="79">
        <f>' výsledovky 17-22-24'!AK32</f>
        <v>-1262.02</v>
      </c>
      <c r="W15" s="148">
        <v>-1250</v>
      </c>
      <c r="X15" s="115">
        <f>' výsledovky 17-22-24'!AM32</f>
        <v>0</v>
      </c>
      <c r="Z15" s="131">
        <f t="shared" si="13"/>
        <v>1.2548800000000002</v>
      </c>
      <c r="AA15" s="131">
        <f t="shared" si="20"/>
        <v>1.0056897870712735</v>
      </c>
      <c r="AB15" s="131"/>
    </row>
    <row r="16" spans="2:28" x14ac:dyDescent="0.25">
      <c r="B16" s="124" t="s">
        <v>228</v>
      </c>
      <c r="C16" s="82" t="s">
        <v>207</v>
      </c>
      <c r="D16" s="78"/>
      <c r="E16" s="95"/>
      <c r="F16" s="226"/>
      <c r="G16" s="114">
        <v>500</v>
      </c>
      <c r="H16" s="133">
        <f>' výsledovky 17-22-24'!V34</f>
        <v>-169.57</v>
      </c>
      <c r="I16" s="100">
        <v>-300</v>
      </c>
      <c r="J16" s="133">
        <f>' výsledovky 17-22-24'!Y34</f>
        <v>-106.8</v>
      </c>
      <c r="K16" s="148">
        <v>-200</v>
      </c>
      <c r="L16" s="115">
        <f>' výsledovky 17-22-24'!AA34</f>
        <v>-40.700000000000003</v>
      </c>
      <c r="M16" s="148">
        <v>-100</v>
      </c>
      <c r="N16" s="115">
        <f>' výsledovky 17-22-24'!AC34</f>
        <v>-12.6</v>
      </c>
      <c r="O16" s="148">
        <v>-50</v>
      </c>
      <c r="P16" s="115">
        <f>' výsledovky 17-22-24'!AE34</f>
        <v>-22</v>
      </c>
      <c r="Q16" s="148">
        <v>-50</v>
      </c>
      <c r="R16" s="115">
        <f>' výsledovky 17-22-24'!AG34</f>
        <v>-16.05</v>
      </c>
      <c r="S16" s="148">
        <v>-50</v>
      </c>
      <c r="T16" s="115">
        <f>' výsledovky 17-22-24'!AI34</f>
        <v>-35.450000000000003</v>
      </c>
      <c r="U16" s="148">
        <v>-50</v>
      </c>
      <c r="V16" s="79">
        <f>' výsledovky 17-22-24'!AK34</f>
        <v>-52.5</v>
      </c>
      <c r="W16" s="148">
        <v>-50</v>
      </c>
      <c r="X16" s="115">
        <f>' výsledovky 17-22-24'!AM34</f>
        <v>0</v>
      </c>
      <c r="Z16" s="131">
        <f t="shared" si="13"/>
        <v>0.70900000000000007</v>
      </c>
      <c r="AA16" s="131">
        <f t="shared" si="20"/>
        <v>1.05</v>
      </c>
      <c r="AB16" s="131"/>
    </row>
    <row r="17" spans="2:28" x14ac:dyDescent="0.25">
      <c r="B17" s="124" t="s">
        <v>228</v>
      </c>
      <c r="C17" s="82" t="s">
        <v>12</v>
      </c>
      <c r="D17" s="78">
        <f>'2015 -  2016'!J43</f>
        <v>200</v>
      </c>
      <c r="E17" s="78">
        <f>'2015 -  2016'!Q43</f>
        <v>1025.1600000000001</v>
      </c>
      <c r="F17" s="100">
        <v>1025.1600000000001</v>
      </c>
      <c r="G17" s="114"/>
      <c r="H17" s="133">
        <f>' výsledovky 17-22-24'!V35</f>
        <v>-2100</v>
      </c>
      <c r="I17" s="100">
        <v>-2100</v>
      </c>
      <c r="J17" s="133">
        <f>' výsledovky 17-22-24'!Y35</f>
        <v>-2100</v>
      </c>
      <c r="K17" s="148">
        <v>-2100</v>
      </c>
      <c r="L17" s="115">
        <f>' výsledovky 17-22-24'!AA35</f>
        <v>-933</v>
      </c>
      <c r="M17" s="148">
        <v>-2100</v>
      </c>
      <c r="N17" s="115">
        <f>' výsledovky 17-22-24'!AC35</f>
        <v>-2100</v>
      </c>
      <c r="O17" s="216">
        <f>-13000</f>
        <v>-13000</v>
      </c>
      <c r="P17" s="115">
        <f>' výsledovky 17-22-24'!AE35</f>
        <v>-10400</v>
      </c>
      <c r="Q17" s="216">
        <f>-1000*13</f>
        <v>-13000</v>
      </c>
      <c r="R17" s="115">
        <f>' výsledovky 17-22-24'!AG35</f>
        <v>-12000</v>
      </c>
      <c r="S17" s="216">
        <f>-1000*13</f>
        <v>-13000</v>
      </c>
      <c r="T17" s="115">
        <f>' výsledovky 17-22-24'!AI35</f>
        <v>-12000</v>
      </c>
      <c r="U17" s="216">
        <f>-1000*13</f>
        <v>-13000</v>
      </c>
      <c r="V17" s="79">
        <f>' výsledovky 17-22-24'!AK35</f>
        <v>-13000</v>
      </c>
      <c r="W17" s="216">
        <f>-1000*13</f>
        <v>-13000</v>
      </c>
      <c r="X17" s="115">
        <f>' výsledovky 17-22-24'!AM35</f>
        <v>0</v>
      </c>
      <c r="Z17" s="131">
        <f t="shared" si="13"/>
        <v>0.92307692307692313</v>
      </c>
      <c r="AA17" s="131">
        <f t="shared" si="20"/>
        <v>1</v>
      </c>
      <c r="AB17" s="131"/>
    </row>
    <row r="18" spans="2:28" x14ac:dyDescent="0.25">
      <c r="B18" s="124" t="s">
        <v>228</v>
      </c>
      <c r="C18" s="77" t="s">
        <v>87</v>
      </c>
      <c r="D18" s="95">
        <f>'2015 -  2016'!J47</f>
        <v>0</v>
      </c>
      <c r="E18" s="95">
        <f>'2015 -  2016'!Q47</f>
        <v>334.99</v>
      </c>
      <c r="F18" s="226">
        <v>184.99</v>
      </c>
      <c r="G18" s="114">
        <f>'2015 -  2016'!S47+'2015 -  2016'!U47</f>
        <v>350</v>
      </c>
      <c r="H18" s="133"/>
      <c r="I18" s="100">
        <v>-150</v>
      </c>
      <c r="J18" s="133"/>
      <c r="K18" s="148">
        <v>-150</v>
      </c>
      <c r="L18" s="115"/>
      <c r="M18" s="148">
        <v>-150</v>
      </c>
      <c r="N18" s="115"/>
      <c r="O18" s="148">
        <v>-150</v>
      </c>
      <c r="P18" s="115"/>
      <c r="Q18" s="148">
        <v>-150</v>
      </c>
      <c r="R18" s="115"/>
      <c r="S18" s="148">
        <v>-150</v>
      </c>
      <c r="T18" s="115"/>
      <c r="U18" s="148"/>
      <c r="V18" s="79"/>
      <c r="W18" s="148"/>
      <c r="X18" s="115"/>
      <c r="Z18" s="131">
        <f t="shared" si="13"/>
        <v>0</v>
      </c>
      <c r="AA18" s="131"/>
      <c r="AB18" s="131"/>
    </row>
    <row r="19" spans="2:28" x14ac:dyDescent="0.25">
      <c r="B19" s="124" t="s">
        <v>228</v>
      </c>
      <c r="C19" s="82" t="s">
        <v>209</v>
      </c>
      <c r="D19" s="78">
        <f>'2015 -  2016'!J64</f>
        <v>1200</v>
      </c>
      <c r="E19" s="78">
        <f>'2015 -  2016'!Q64</f>
        <v>21.87</v>
      </c>
      <c r="F19" s="100">
        <v>142.02000000000001</v>
      </c>
      <c r="G19" s="114">
        <v>180</v>
      </c>
      <c r="H19" s="133">
        <f>' výsledovky 17-22-24'!V58</f>
        <v>-142.02000000000001</v>
      </c>
      <c r="I19" s="100">
        <f>-G19</f>
        <v>-180</v>
      </c>
      <c r="J19" s="133">
        <f>' výsledovky 17-22-24'!Y58</f>
        <v>-142.03</v>
      </c>
      <c r="K19" s="148">
        <v>-180</v>
      </c>
      <c r="L19" s="115">
        <f>' výsledovky 17-22-24'!AA58</f>
        <v>-141.74</v>
      </c>
      <c r="M19" s="148">
        <v>-142</v>
      </c>
      <c r="N19" s="115">
        <f>' výsledovky 17-22-24'!AC58</f>
        <v>-142.29</v>
      </c>
      <c r="O19" s="148">
        <v>-142</v>
      </c>
      <c r="P19" s="115">
        <f>' výsledovky 17-22-24'!AE58</f>
        <v>-142.02000000000001</v>
      </c>
      <c r="Q19" s="148">
        <v>-142</v>
      </c>
      <c r="R19" s="115">
        <f>' výsledovky 17-22-24'!AG58</f>
        <v>-142.02000000000001</v>
      </c>
      <c r="S19" s="148">
        <v>-142</v>
      </c>
      <c r="T19" s="115">
        <f>' výsledovky 17-22-24'!AI58</f>
        <v>-142.02000000000001</v>
      </c>
      <c r="U19" s="148">
        <v>-142</v>
      </c>
      <c r="V19" s="79">
        <f>' výsledovky 17-22-24'!AK58</f>
        <v>-142.02000000000001</v>
      </c>
      <c r="W19" s="148">
        <v>-142</v>
      </c>
      <c r="X19" s="115">
        <f>' výsledovky 17-22-24'!AM58</f>
        <v>0</v>
      </c>
      <c r="Z19" s="131">
        <f t="shared" si="13"/>
        <v>1.0001408450704226</v>
      </c>
      <c r="AA19" s="131">
        <f>V19/U19</f>
        <v>1.0001408450704226</v>
      </c>
      <c r="AB19" s="131"/>
    </row>
    <row r="20" spans="2:28" x14ac:dyDescent="0.25">
      <c r="B20" s="124" t="s">
        <v>228</v>
      </c>
      <c r="C20" s="82" t="s">
        <v>132</v>
      </c>
      <c r="D20" s="78"/>
      <c r="E20" s="95"/>
      <c r="F20" s="226"/>
      <c r="G20" s="114">
        <v>336</v>
      </c>
      <c r="H20" s="133"/>
      <c r="I20" s="100">
        <f>-G20</f>
        <v>-336</v>
      </c>
      <c r="J20" s="115"/>
      <c r="K20" s="148">
        <f>-28*12</f>
        <v>-336</v>
      </c>
      <c r="L20" s="115"/>
      <c r="M20" s="148">
        <f>-28*12</f>
        <v>-336</v>
      </c>
      <c r="N20" s="115"/>
      <c r="O20" s="148">
        <f>-28*12</f>
        <v>-336</v>
      </c>
      <c r="P20" s="115">
        <v>-587.1</v>
      </c>
      <c r="Q20" s="148">
        <v>-587.1</v>
      </c>
      <c r="R20" s="115">
        <v>-587.1</v>
      </c>
      <c r="S20" s="148">
        <v>-587.1</v>
      </c>
      <c r="T20" s="115">
        <v>-599.6</v>
      </c>
      <c r="U20" s="148">
        <v>-650</v>
      </c>
      <c r="V20" s="79">
        <f>-28*12-263.6</f>
        <v>-599.6</v>
      </c>
      <c r="W20" s="148">
        <v>-650</v>
      </c>
      <c r="X20" s="115">
        <v>0</v>
      </c>
      <c r="Z20" s="131">
        <f t="shared" si="13"/>
        <v>1.0212910918071878</v>
      </c>
      <c r="AA20" s="131">
        <f>V20/U20</f>
        <v>0.92246153846153844</v>
      </c>
      <c r="AB20" s="131"/>
    </row>
    <row r="21" spans="2:28" x14ac:dyDescent="0.25">
      <c r="C21" s="82" t="s">
        <v>26</v>
      </c>
      <c r="D21" s="78">
        <f>'2015 -  2016'!J11</f>
        <v>2000</v>
      </c>
      <c r="E21" s="78">
        <f>'2015 -  2016'!Q11</f>
        <v>970.53</v>
      </c>
      <c r="F21" s="100">
        <v>970.53</v>
      </c>
      <c r="G21" s="114"/>
      <c r="H21" s="133">
        <f>' výsledovky 17-22-24'!V5</f>
        <v>-481.83</v>
      </c>
      <c r="I21" s="100">
        <f>-G21</f>
        <v>0</v>
      </c>
      <c r="J21" s="133">
        <f>' výsledovky 17-22-24'!Y5</f>
        <v>-224.17</v>
      </c>
      <c r="K21" s="148">
        <v>0</v>
      </c>
      <c r="L21" s="115">
        <f>' výsledovky 17-22-24'!AA5</f>
        <v>-5076.22</v>
      </c>
      <c r="M21" s="182">
        <v>0</v>
      </c>
      <c r="N21" s="115">
        <f>' výsledovky 17-22-24'!AC5</f>
        <v>0</v>
      </c>
      <c r="O21" s="182">
        <v>0</v>
      </c>
      <c r="P21" s="115">
        <f>' výsledovky 17-22-24'!AE5</f>
        <v>-556.4</v>
      </c>
      <c r="Q21" s="182">
        <v>0</v>
      </c>
      <c r="R21" s="115">
        <f>' výsledovky 17-22-24'!AG5</f>
        <v>-860.7</v>
      </c>
      <c r="S21" s="182">
        <v>0</v>
      </c>
      <c r="T21" s="115">
        <f>' výsledovky 17-22-24'!AI5</f>
        <v>-384.7</v>
      </c>
      <c r="U21" s="182">
        <v>0</v>
      </c>
      <c r="V21" s="79">
        <f>' výsledovky 17-22-24'!AK5</f>
        <v>0</v>
      </c>
      <c r="W21" s="182">
        <v>0</v>
      </c>
      <c r="X21" s="115">
        <f>' výsledovky 17-22-24'!AM5</f>
        <v>0</v>
      </c>
      <c r="Z21" s="131"/>
      <c r="AA21" s="131"/>
      <c r="AB21" s="131"/>
    </row>
    <row r="22" spans="2:28" x14ac:dyDescent="0.25">
      <c r="B22" s="124" t="s">
        <v>228</v>
      </c>
      <c r="C22" s="82" t="s">
        <v>208</v>
      </c>
      <c r="D22" s="78">
        <f>'2015 -  2016'!J22+'2015 -  2016'!J66+'2015 -  2016'!J60</f>
        <v>9600</v>
      </c>
      <c r="E22" s="78">
        <f>'2015 -  2016'!Q22+'2015 -  2016'!Q60</f>
        <v>3330.5000000000005</v>
      </c>
      <c r="F22" s="100">
        <f>(90622.44-3087.41)-F9-F10-F11-F12-F13-F14-F15-F16-F17-F18-F19-F20-F21-F23-F25-F26-F27-2379.03</f>
        <v>9071.9400000000023</v>
      </c>
      <c r="G22" s="114">
        <f>'2015 -  2016'!S69+'2015 -  2016'!S66+'2015 -  2016'!S63+'2015 -  2016'!S59+'2015 -  2016'!S46+'2015 -  2016'!S19+'2015 -  2016'!S61</f>
        <v>1833.68</v>
      </c>
      <c r="H22" s="133">
        <f>SUM(' výsledovky 17-22-24'!V2:V64)-'Finančný plán'!H9-'Finančný plán'!H10-'Finančný plán'!H11-'Finančný plán'!H12-'Finančný plán'!H13-'Finančný plán'!H14-'Finančný plán'!H15-'Finančný plán'!H16-'Finančný plán'!H17-'Finančný plán'!H18-'Finančný plán'!H19-'Finančný plán'!H20-'Finančný plán'!H21-'Finančný plán'!H23-'Finančný plán'!H25-'Finančný plán'!H26-'Finančný plán'!H27</f>
        <v>-7421.8200000000179</v>
      </c>
      <c r="I22" s="100">
        <v>-1000</v>
      </c>
      <c r="J22" s="133">
        <f>SUM(' výsledovky 17-22-24'!Y2:Y64)-'Finančný plán'!J9-'Finančný plán'!J10-'Finančný plán'!J11-'Finančný plán'!J12-'Finančný plán'!J13-'Finančný plán'!J14-'Finančný plán'!J15-'Finančný plán'!J16-'Finančný plán'!J17-'Finančný plán'!J18-'Finančný plán'!J19-'Finančný plán'!J20-'Finančný plán'!J21-'Finančný plán'!J23-J25-J26-J27</f>
        <v>-1362.5600000000079</v>
      </c>
      <c r="K22" s="148">
        <v>-1000</v>
      </c>
      <c r="L22" s="115">
        <f>SUM(' výsledovky 17-22-24'!AA2:AA64)-'Finančný plán'!L9-'Finančný plán'!L10-'Finančný plán'!L11-'Finančný plán'!L12-'Finančný plán'!L13-'Finančný plán'!L14-'Finančný plán'!L15-'Finančný plán'!L16-'Finančný plán'!L17-'Finančný plán'!L18-'Finančný plán'!L19-'Finančný plán'!L20-'Finančný plán'!L21-'Finančný plán'!L23-'Finančný plán'!L25-'Finančný plán'!L26-'Finančný plán'!L27</f>
        <v>-6204.6000000000186</v>
      </c>
      <c r="M22" s="182">
        <v>-2000</v>
      </c>
      <c r="N22" s="115">
        <v>-2952.82</v>
      </c>
      <c r="O22" s="182">
        <v>-2000</v>
      </c>
      <c r="P22" s="115">
        <f>-5946.7+587.1</f>
        <v>-5359.5999999999995</v>
      </c>
      <c r="Q22" s="182">
        <v>-2000</v>
      </c>
      <c r="R22" s="115">
        <v>-2156.5100000000002</v>
      </c>
      <c r="S22" s="182">
        <v>-2000</v>
      </c>
      <c r="T22" s="115">
        <v>-1683.28</v>
      </c>
      <c r="U22" s="182">
        <v>-2000</v>
      </c>
      <c r="V22" s="79">
        <f>-2276.56-V20</f>
        <v>-1676.96</v>
      </c>
      <c r="W22" s="182">
        <v>-2000</v>
      </c>
      <c r="X22" s="115">
        <v>0</v>
      </c>
      <c r="Z22" s="131">
        <f t="shared" ref="Z22:Z27" si="21">T22/S22</f>
        <v>0.84163999999999994</v>
      </c>
      <c r="AA22" s="131">
        <f t="shared" si="20"/>
        <v>0.83848</v>
      </c>
    </row>
    <row r="23" spans="2:28" x14ac:dyDescent="0.25">
      <c r="B23" s="124" t="s">
        <v>228</v>
      </c>
      <c r="C23" s="82" t="s">
        <v>21</v>
      </c>
      <c r="D23" s="78">
        <f>'2015 -  2016'!J65+'2015 -  2016'!J62+'2015 -  2016'!J67+'2015 -  2016'!J61+'2015 -  2016'!F53</f>
        <v>8800</v>
      </c>
      <c r="E23" s="78">
        <f>'2015 -  2016'!Q65+'2015 -  2016'!Q62+'2015 -  2016'!Q67+'2015 -  2016'!Q66+'2015 -  2016'!Q61+'2015 -  2016'!Q63</f>
        <v>5817.4</v>
      </c>
      <c r="F23" s="100">
        <f>106.9+588.36</f>
        <v>695.26</v>
      </c>
      <c r="G23" s="114">
        <v>695.26</v>
      </c>
      <c r="H23" s="133">
        <f>' výsledovky 17-22-24'!V62+' výsledovky 17-22-24'!V63</f>
        <v>-891.86</v>
      </c>
      <c r="I23" s="100">
        <f>-G23</f>
        <v>-695.26</v>
      </c>
      <c r="J23" s="133">
        <f>' výsledovky 17-22-24'!Y62+' výsledovky 17-22-24'!Y63</f>
        <v>-445.94</v>
      </c>
      <c r="K23" s="148">
        <f>H23</f>
        <v>-891.86</v>
      </c>
      <c r="L23" s="115">
        <f>' výsledovky 17-22-24'!AA62+' výsledovky 17-22-24'!AA63</f>
        <v>-643.84</v>
      </c>
      <c r="M23" s="100">
        <v>504.94</v>
      </c>
      <c r="N23" s="115">
        <f>' výsledovky 17-22-24'!AC62+' výsledovky 17-22-24'!AC63</f>
        <v>-558.29999999999995</v>
      </c>
      <c r="O23" s="100">
        <v>-650</v>
      </c>
      <c r="P23" s="115">
        <f>' výsledovky 17-22-24'!AE62+' výsledovky 17-22-24'!AE63</f>
        <v>-558.29999999999995</v>
      </c>
      <c r="Q23" s="100">
        <v>-558</v>
      </c>
      <c r="R23" s="115">
        <f>' výsledovky 17-22-24'!AG62+' výsledovky 17-22-24'!AG63</f>
        <v>-351.15</v>
      </c>
      <c r="S23" s="100">
        <v>-558</v>
      </c>
      <c r="T23" s="115">
        <f>' výsledovky 17-22-24'!AI62+' výsledovky 17-22-24'!AI63</f>
        <v>-740.02</v>
      </c>
      <c r="U23" s="100">
        <f>T23</f>
        <v>-740.02</v>
      </c>
      <c r="V23" s="79">
        <f>' výsledovky 17-22-24'!AK62+' výsledovky 17-22-24'!AK63</f>
        <v>-2113.35</v>
      </c>
      <c r="W23" s="100">
        <v>-2500</v>
      </c>
      <c r="X23" s="115">
        <f>' výsledovky 17-22-24'!AM62+' výsledovky 17-22-24'!AM63</f>
        <v>0</v>
      </c>
      <c r="Z23" s="131">
        <f t="shared" si="21"/>
        <v>1.326200716845878</v>
      </c>
      <c r="AA23" s="131">
        <f t="shared" si="20"/>
        <v>2.855801194562309</v>
      </c>
      <c r="AB23" s="131"/>
    </row>
    <row r="24" spans="2:28" x14ac:dyDescent="0.25">
      <c r="B24" s="124" t="s">
        <v>228</v>
      </c>
      <c r="C24" s="74" t="s">
        <v>190</v>
      </c>
      <c r="D24" s="75">
        <f>-SUM(D25:D27)</f>
        <v>-55300</v>
      </c>
      <c r="E24" s="94">
        <f>-SUM(E25:E27)</f>
        <v>-19724.77</v>
      </c>
      <c r="F24" s="94">
        <f>-SUM(F25:F27)</f>
        <v>-49167.770000000004</v>
      </c>
      <c r="G24" s="102">
        <f>-SUM(G25:G27)</f>
        <v>-16349.96</v>
      </c>
      <c r="H24" s="94">
        <f>SUM(H25:H27)</f>
        <v>-34819.980000000003</v>
      </c>
      <c r="I24" s="99">
        <f t="shared" ref="I24:J24" si="22">SUM(I25:I27)</f>
        <v>-22520.760000000002</v>
      </c>
      <c r="J24" s="94">
        <f t="shared" si="22"/>
        <v>-32385.73</v>
      </c>
      <c r="K24" s="102">
        <f t="shared" ref="K24:O24" si="23">SUM(K25:K27)</f>
        <v>-37360.960000000006</v>
      </c>
      <c r="L24" s="76">
        <f t="shared" si="23"/>
        <v>-38578.39</v>
      </c>
      <c r="M24" s="102">
        <f t="shared" ref="M24" si="24">SUM(M25:M27)</f>
        <v>-37360.960000000006</v>
      </c>
      <c r="N24" s="76">
        <f t="shared" ref="N24:Q24" si="25">SUM(N25:N27)</f>
        <v>-39713.070000000007</v>
      </c>
      <c r="O24" s="102">
        <f t="shared" si="23"/>
        <v>-37380.960000000006</v>
      </c>
      <c r="P24" s="76">
        <f t="shared" si="25"/>
        <v>-39453.159999999996</v>
      </c>
      <c r="Q24" s="102">
        <f t="shared" si="25"/>
        <v>-39754.880000000005</v>
      </c>
      <c r="R24" s="76">
        <f t="shared" ref="R24:S24" si="26">SUM(R25:R27)</f>
        <v>-41799.050000000003</v>
      </c>
      <c r="S24" s="102">
        <f t="shared" si="26"/>
        <v>-44676.160000000003</v>
      </c>
      <c r="T24" s="76">
        <f t="shared" ref="T24:U24" si="27">SUM(T25:T27)</f>
        <v>-42464.359999999993</v>
      </c>
      <c r="U24" s="102">
        <f t="shared" si="27"/>
        <v>-45364</v>
      </c>
      <c r="V24" s="76">
        <f t="shared" ref="V24:W24" si="28">SUM(V25:V27)</f>
        <v>-47544.62</v>
      </c>
      <c r="W24" s="102">
        <f t="shared" si="28"/>
        <v>-48566.943550000004</v>
      </c>
      <c r="X24" s="76">
        <f t="shared" ref="X24" si="29">SUM(X25:X27)</f>
        <v>0</v>
      </c>
      <c r="Z24" s="131">
        <f t="shared" si="21"/>
        <v>0.9504926117195388</v>
      </c>
      <c r="AA24" s="131">
        <f t="shared" si="20"/>
        <v>1.0480693942333128</v>
      </c>
      <c r="AB24" s="131"/>
    </row>
    <row r="25" spans="2:28" x14ac:dyDescent="0.25">
      <c r="B25" s="124" t="s">
        <v>228</v>
      </c>
      <c r="C25" s="82" t="s">
        <v>40</v>
      </c>
      <c r="D25" s="78">
        <f>'2015 -  2016'!F49+'2015 -  2016'!F50+'2015 -  2016'!F54+'2015 -  2016'!F57+'2015 -  2016'!F53</f>
        <v>20600</v>
      </c>
      <c r="E25" s="95"/>
      <c r="F25" s="226">
        <f>11751.94+4879.02+5454.98+442.75</f>
        <v>22528.69</v>
      </c>
      <c r="G25" s="114">
        <f>'2015 -  2016'!S49+'2015 -  2016'!S50+'2015 -  2016'!S53+'2015 -  2016'!S57</f>
        <v>15044.96</v>
      </c>
      <c r="H25" s="133">
        <f>' výsledovky 17-22-24'!V40+' výsledovky 17-22-24'!V41+' výsledovky 17-22-24'!V44+' výsledovky 17-22-24'!V45+' výsledovky 17-22-24'!V48</f>
        <v>-19873.32</v>
      </c>
      <c r="I25" s="100">
        <f>-(13*1260*1.352)</f>
        <v>-22145.760000000002</v>
      </c>
      <c r="J25" s="133">
        <f>' výsledovky 17-22-24'!Y40+' výsledovky 17-22-24'!Y41+' výsledovky 17-22-24'!Y44+' výsledovky 17-22-24'!Y45+' výsledovky 17-22-24'!Y48+' výsledovky 17-22-24'!Y49</f>
        <v>-20666.93</v>
      </c>
      <c r="K25" s="148">
        <f>-(13*1460*1.352)</f>
        <v>-25660.960000000003</v>
      </c>
      <c r="L25" s="133">
        <f>' výsledovky 17-22-24'!AA40+' výsledovky 17-22-24'!AA41+' výsledovky 17-22-24'!AA44+' výsledovky 17-22-24'!AA45+' výsledovky 17-22-24'!AA48+' výsledovky 17-22-24'!AA49</f>
        <v>-26758.04</v>
      </c>
      <c r="M25" s="148">
        <f>-(13*1460*1.352)</f>
        <v>-25660.960000000003</v>
      </c>
      <c r="N25" s="115">
        <f>' výsledovky 17-22-24'!AC40+' výsledovky 17-22-24'!AC41+' výsledovky 17-22-24'!AC44+' výsledovky 17-22-24'!AC45+' výsledovky 17-22-24'!AC48+' výsledovky 17-22-24'!AC49</f>
        <v>-27741.070000000003</v>
      </c>
      <c r="O25" s="148">
        <f>-(13*1460*1.352)</f>
        <v>-25660.960000000003</v>
      </c>
      <c r="P25" s="115">
        <f>' výsledovky 17-22-24'!AE40+' výsledovky 17-22-24'!AE41+' výsledovky 17-22-24'!AE44+' výsledovky 17-22-24'!AE45+' výsledovky 17-22-24'!AE48+' výsledovky 17-22-24'!AE49</f>
        <v>-27521.589999999997</v>
      </c>
      <c r="Q25" s="148">
        <f>-(14*1460*1.352)</f>
        <v>-27634.880000000001</v>
      </c>
      <c r="R25" s="115">
        <f>' výsledovky 17-22-24'!AG40+' výsledovky 17-22-24'!AG41+' výsledovky 17-22-24'!AG44+' výsledovky 17-22-24'!AG45+' výsledovky 17-22-24'!AG48+' výsledovky 17-22-24'!AG49</f>
        <v>-29777.72</v>
      </c>
      <c r="S25" s="148">
        <f>-(14*1720*1.352)</f>
        <v>-32556.160000000003</v>
      </c>
      <c r="T25" s="115">
        <f>' výsledovky 17-22-24'!AI40+' výsledovky 17-22-24'!AI41+' výsledovky 17-22-24'!AI44+' výsledovky 17-22-24'!AI45+' výsledovky 17-22-24'!AI48+' výsledovky 17-22-24'!AI49</f>
        <v>-30270.87</v>
      </c>
      <c r="U25" s="148">
        <f>-(14*1750*1.352)</f>
        <v>-33124</v>
      </c>
      <c r="V25" s="115">
        <f>' výsledovky 17-22-24'!AK40+' výsledovky 17-22-24'!AK41+' výsledovky 17-22-24'!AK44+' výsledovky 17-22-24'!AK45+' výsledovky 17-22-24'!AK48+' výsledovky 17-22-24'!AK49</f>
        <v>-35138.83</v>
      </c>
      <c r="W25" s="148">
        <f>-(14*1900*1.362)</f>
        <v>-36229.200000000004</v>
      </c>
      <c r="X25" s="115">
        <f>' výsledovky 17-22-24'!AM40+' výsledovky 17-22-24'!AM41+' výsledovky 17-22-24'!AM44+' výsledovky 17-22-24'!AM45+' výsledovky 17-22-24'!AM48+' výsledovky 17-22-24'!AM49</f>
        <v>0</v>
      </c>
      <c r="Z25" s="131">
        <f t="shared" si="21"/>
        <v>0.92980468212467304</v>
      </c>
      <c r="AA25" s="131">
        <f t="shared" si="20"/>
        <v>1.0608268928873326</v>
      </c>
      <c r="AB25" s="131"/>
    </row>
    <row r="26" spans="2:28" x14ac:dyDescent="0.25">
      <c r="B26" s="124" t="s">
        <v>228</v>
      </c>
      <c r="C26" s="82" t="s">
        <v>242</v>
      </c>
      <c r="D26" s="78">
        <f>'2015 -  2016'!J51+'2015 -  2016'!J55</f>
        <v>34000</v>
      </c>
      <c r="E26" s="78">
        <f>'2015 -  2016'!Q51+'2015 -  2016'!Q55</f>
        <v>19724.77</v>
      </c>
      <c r="F26" s="100">
        <f>19724.77+6468.48</f>
        <v>26193.25</v>
      </c>
      <c r="G26" s="114">
        <v>405</v>
      </c>
      <c r="H26" s="133">
        <f>' výsledovky 17-22-24'!V36+' výsledovky 17-22-24'!V42+' výsledovky 17-22-24'!V43</f>
        <v>-14330</v>
      </c>
      <c r="I26" s="100">
        <v>0</v>
      </c>
      <c r="J26" s="133">
        <f>' výsledovky 17-22-24'!Y36+' výsledovky 17-22-24'!Y42+' výsledovky 17-22-24'!Y43</f>
        <v>-10980</v>
      </c>
      <c r="K26" s="148">
        <f>-(12*900+400)</f>
        <v>-11200</v>
      </c>
      <c r="L26" s="115">
        <f>' výsledovky 17-22-24'!AA36+' výsledovky 17-22-24'!AA42+' výsledovky 17-22-24'!AA43</f>
        <v>-10800</v>
      </c>
      <c r="M26" s="148">
        <f>-(12*900+400)</f>
        <v>-11200</v>
      </c>
      <c r="N26" s="115">
        <f>' výsledovky 17-22-24'!AC36+' výsledovky 17-22-24'!AC42+' výsledovky 17-22-24'!AC43</f>
        <v>-10800</v>
      </c>
      <c r="O26" s="148">
        <f>-(12*900+400)</f>
        <v>-11200</v>
      </c>
      <c r="P26" s="115">
        <f>' výsledovky 17-22-24'!AE36+' výsledovky 17-22-24'!AE42+' výsledovky 17-22-24'!AE43</f>
        <v>-10800</v>
      </c>
      <c r="Q26" s="148">
        <f>-(12*900)</f>
        <v>-10800</v>
      </c>
      <c r="R26" s="115">
        <f>' výsledovky 17-22-24'!AG36+' výsledovky 17-22-24'!AG42+' výsledovky 17-22-24'!AG43</f>
        <v>-10800</v>
      </c>
      <c r="S26" s="148">
        <f>-(12*900)</f>
        <v>-10800</v>
      </c>
      <c r="T26" s="115">
        <f>' výsledovky 17-22-24'!AI36+' výsledovky 17-22-24'!AI42+' výsledovky 17-22-24'!AI43</f>
        <v>-10800</v>
      </c>
      <c r="U26" s="148">
        <f>-(12*900)</f>
        <v>-10800</v>
      </c>
      <c r="V26" s="115">
        <f>' výsledovky 17-22-24'!AK36+' výsledovky 17-22-24'!AK42+' výsledovky 17-22-24'!AK43</f>
        <v>-10800</v>
      </c>
      <c r="W26" s="148">
        <f>-(12*1170)</f>
        <v>-14040</v>
      </c>
      <c r="X26" s="115">
        <f>' výsledovky 17-22-24'!AM36+' výsledovky 17-22-24'!AM42+' výsledovky 17-22-24'!AM43</f>
        <v>0</v>
      </c>
      <c r="Z26" s="131">
        <f t="shared" si="21"/>
        <v>1</v>
      </c>
      <c r="AA26" s="131">
        <f t="shared" si="20"/>
        <v>1</v>
      </c>
      <c r="AB26" s="131"/>
    </row>
    <row r="27" spans="2:28" ht="15.75" thickBot="1" x14ac:dyDescent="0.3">
      <c r="B27" s="124" t="s">
        <v>228</v>
      </c>
      <c r="C27" s="77" t="s">
        <v>16</v>
      </c>
      <c r="D27" s="78">
        <f>'2015 -  2016'!F56</f>
        <v>700</v>
      </c>
      <c r="E27" s="95"/>
      <c r="F27" s="226">
        <v>445.83</v>
      </c>
      <c r="G27" s="114">
        <v>900</v>
      </c>
      <c r="H27" s="133">
        <f>' výsledovky 17-22-24'!V46+' výsledovky 17-22-24'!V47</f>
        <v>-616.66</v>
      </c>
      <c r="I27" s="129">
        <f>-SUM(1.5*250)</f>
        <v>-375</v>
      </c>
      <c r="J27" s="133">
        <f>' výsledovky 17-22-24'!Y46+' výsledovky 17-22-24'!Y47</f>
        <v>-738.8</v>
      </c>
      <c r="K27" s="149">
        <f>-SUM(2*250)</f>
        <v>-500</v>
      </c>
      <c r="L27" s="150">
        <f>' výsledovky 17-22-24'!AA46+' výsledovky 17-22-24'!AA47</f>
        <v>-1020.35</v>
      </c>
      <c r="M27" s="149">
        <f>-SUM(2*250)</f>
        <v>-500</v>
      </c>
      <c r="N27" s="150">
        <f>' výsledovky 17-22-24'!AC46+' výsledovky 17-22-24'!AC47</f>
        <v>-1172</v>
      </c>
      <c r="O27" s="149">
        <v>-520</v>
      </c>
      <c r="P27" s="150">
        <f>' výsledovky 17-22-24'!AE46+' výsledovky 17-22-24'!AE47</f>
        <v>-1131.57</v>
      </c>
      <c r="Q27" s="149">
        <f>-60*22</f>
        <v>-1320</v>
      </c>
      <c r="R27" s="150">
        <f>' výsledovky 17-22-24'!AG46+' výsledovky 17-22-24'!AG47</f>
        <v>-1221.33</v>
      </c>
      <c r="S27" s="149">
        <f>-60*22</f>
        <v>-1320</v>
      </c>
      <c r="T27" s="150">
        <f>' výsledovky 17-22-24'!AI46+' výsledovky 17-22-24'!AI47</f>
        <v>-1393.49</v>
      </c>
      <c r="U27" s="149">
        <f>-60*24</f>
        <v>-1440</v>
      </c>
      <c r="V27" s="150">
        <f>' výsledovky 17-22-24'!AK46+' výsledovky 17-22-24'!AK47</f>
        <v>-1605.79</v>
      </c>
      <c r="W27" s="149">
        <f>((249-20)*4.57*1.025)+(((249/5*3)-15)*4.57*1.025)</f>
        <v>1702.2564499999999</v>
      </c>
      <c r="X27" s="150">
        <f>' výsledovky 17-22-24'!AM46+' výsledovky 17-22-24'!AM47</f>
        <v>0</v>
      </c>
      <c r="Z27" s="131">
        <f t="shared" si="21"/>
        <v>1.0556742424242425</v>
      </c>
      <c r="AA27" s="131">
        <f t="shared" si="20"/>
        <v>1.1151319444444445</v>
      </c>
      <c r="AB27" s="131"/>
    </row>
    <row r="28" spans="2:28" ht="16.5" thickTop="1" thickBot="1" x14ac:dyDescent="0.3"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154"/>
      <c r="U28" s="81"/>
      <c r="V28" s="154"/>
      <c r="W28" s="81"/>
      <c r="X28" s="154"/>
      <c r="Z28" s="131"/>
    </row>
    <row r="29" spans="2:28" ht="15.75" thickTop="1" x14ac:dyDescent="0.25">
      <c r="B29" s="124" t="s">
        <v>229</v>
      </c>
      <c r="C29" s="72" t="s">
        <v>191</v>
      </c>
      <c r="D29" s="73">
        <f>SUM(D30+D41)</f>
        <v>-201050</v>
      </c>
      <c r="E29" s="93">
        <f>SUM(E30+E41)</f>
        <v>-176146.88</v>
      </c>
      <c r="F29" s="93">
        <f>SUM(F30+F41)</f>
        <v>-173112.11999999997</v>
      </c>
      <c r="G29" s="104">
        <f>-'2015 -  2016'!U70</f>
        <v>-118823.2</v>
      </c>
      <c r="H29" s="105">
        <f>SUM(H30+H41)</f>
        <v>-112425.19</v>
      </c>
      <c r="I29" s="98">
        <f t="shared" ref="I29:O29" si="30">SUM(I30+I41)</f>
        <v>-79175.8</v>
      </c>
      <c r="J29" s="93">
        <f t="shared" si="30"/>
        <v>-123123.56000000001</v>
      </c>
      <c r="K29" s="104">
        <f t="shared" si="30"/>
        <v>-83510.399999999994</v>
      </c>
      <c r="L29" s="89">
        <f t="shared" si="30"/>
        <v>-127089.92999999998</v>
      </c>
      <c r="M29" s="104">
        <f t="shared" ref="M29" si="31">SUM(M30+M41)</f>
        <v>-67283.5</v>
      </c>
      <c r="N29" s="89">
        <f t="shared" ref="N29:Q29" si="32">SUM(N30+N41)</f>
        <v>-55352.04</v>
      </c>
      <c r="O29" s="104">
        <f t="shared" si="30"/>
        <v>-88351.5</v>
      </c>
      <c r="P29" s="89">
        <f t="shared" si="32"/>
        <v>-76822.149999999994</v>
      </c>
      <c r="Q29" s="104">
        <f t="shared" si="32"/>
        <v>-95561.5</v>
      </c>
      <c r="R29" s="89">
        <f t="shared" ref="R29:S29" si="33">SUM(R30+R41)</f>
        <v>-92870.599999999991</v>
      </c>
      <c r="S29" s="104">
        <f t="shared" si="33"/>
        <v>-109059.86</v>
      </c>
      <c r="T29" s="89">
        <f t="shared" ref="T29:U29" si="34">SUM(T30+T41)</f>
        <v>-105793.69</v>
      </c>
      <c r="U29" s="104">
        <f t="shared" si="34"/>
        <v>-116578</v>
      </c>
      <c r="V29" s="89">
        <f t="shared" ref="V29:W29" si="35">SUM(V30+V41)</f>
        <v>-106329.12</v>
      </c>
      <c r="W29" s="104">
        <f t="shared" si="35"/>
        <v>-99153.369749999998</v>
      </c>
      <c r="X29" s="89">
        <f t="shared" ref="X29" si="36">SUM(X30+X41)</f>
        <v>0</v>
      </c>
      <c r="Z29" s="131">
        <f t="shared" ref="Z29:Z43" si="37">T29/S29</f>
        <v>0.97005158451514606</v>
      </c>
      <c r="AA29" s="131">
        <f>V29/U29</f>
        <v>0.91208564223095268</v>
      </c>
      <c r="AB29" s="131"/>
    </row>
    <row r="30" spans="2:28" x14ac:dyDescent="0.25">
      <c r="B30" s="124" t="s">
        <v>229</v>
      </c>
      <c r="C30" s="74" t="s">
        <v>192</v>
      </c>
      <c r="D30" s="75">
        <f>-SUM(D31:D40)</f>
        <v>-161450</v>
      </c>
      <c r="E30" s="94">
        <f>-SUM(E31:E40)</f>
        <v>-86982.32</v>
      </c>
      <c r="F30" s="94">
        <f>-SUM(F31:F40)</f>
        <v>-138622.35999999996</v>
      </c>
      <c r="G30" s="102">
        <f>-SUM(G33:G40)</f>
        <v>-107850</v>
      </c>
      <c r="H30" s="94">
        <f>SUM(H31:H40)</f>
        <v>-95406.399999999994</v>
      </c>
      <c r="I30" s="99">
        <f>SUM(I33:I40)</f>
        <v>-64865</v>
      </c>
      <c r="J30" s="94">
        <f t="shared" ref="J30:P30" si="38">SUM(J31:J40)</f>
        <v>-105663.62000000001</v>
      </c>
      <c r="K30" s="102">
        <f t="shared" si="38"/>
        <v>-67442</v>
      </c>
      <c r="L30" s="76">
        <f t="shared" si="38"/>
        <v>-112331.45999999998</v>
      </c>
      <c r="M30" s="102">
        <f t="shared" si="38"/>
        <v>-52704.7</v>
      </c>
      <c r="N30" s="76">
        <f t="shared" si="38"/>
        <v>-41399.69</v>
      </c>
      <c r="O30" s="102">
        <f t="shared" si="38"/>
        <v>-73772.7</v>
      </c>
      <c r="P30" s="76">
        <f t="shared" si="38"/>
        <v>-59673.46</v>
      </c>
      <c r="Q30" s="102">
        <f t="shared" ref="Q30:R30" si="39">SUM(Q31:Q40)</f>
        <v>-80780.7</v>
      </c>
      <c r="R30" s="76">
        <f t="shared" si="39"/>
        <v>-74309.76999999999</v>
      </c>
      <c r="S30" s="102">
        <f t="shared" ref="S30:T30" si="40">SUM(S31:S40)</f>
        <v>-92345.7</v>
      </c>
      <c r="T30" s="76">
        <f t="shared" si="40"/>
        <v>-86272.76</v>
      </c>
      <c r="U30" s="102">
        <f t="shared" ref="U30:V30" si="41">SUM(U31:U40)</f>
        <v>-96650</v>
      </c>
      <c r="V30" s="76">
        <f t="shared" si="41"/>
        <v>-85065.79</v>
      </c>
      <c r="W30" s="102">
        <f t="shared" ref="W30:X30" si="42">SUM(W31:W40)</f>
        <v>-79270</v>
      </c>
      <c r="X30" s="76">
        <f t="shared" si="42"/>
        <v>0</v>
      </c>
      <c r="Z30" s="131">
        <f t="shared" si="37"/>
        <v>0.93423689462530468</v>
      </c>
      <c r="AA30" s="131">
        <f t="shared" ref="AA30:AA50" si="43">V30/U30</f>
        <v>0.88014267977237448</v>
      </c>
      <c r="AB30" s="131"/>
    </row>
    <row r="31" spans="2:28" x14ac:dyDescent="0.25">
      <c r="B31" s="124" t="s">
        <v>229</v>
      </c>
      <c r="C31" s="82" t="s">
        <v>212</v>
      </c>
      <c r="D31" s="78"/>
      <c r="E31" s="95"/>
      <c r="F31" s="226">
        <v>1965.06</v>
      </c>
      <c r="G31" s="114">
        <f>'2015 -  2016'!U10</f>
        <v>1000</v>
      </c>
      <c r="H31" s="133">
        <f>SUM(' výsledovky 17-22-24'!V166:V171)</f>
        <v>-4206.43</v>
      </c>
      <c r="I31" s="100">
        <f>-G31</f>
        <v>-1000</v>
      </c>
      <c r="J31" s="133">
        <f>SUM(' výsledovky 17-22-24'!Y166:Y171)</f>
        <v>-3718.96</v>
      </c>
      <c r="K31" s="148">
        <v>-2500</v>
      </c>
      <c r="L31" s="115">
        <f>SUM(' výsledovky 17-22-24'!AA166:AA171)</f>
        <v>-3320.46</v>
      </c>
      <c r="M31" s="182">
        <v>-1477</v>
      </c>
      <c r="N31" s="115">
        <f>SUM(' výsledovky 17-22-24'!AC166:AC171)</f>
        <v>-373.98</v>
      </c>
      <c r="O31" s="182">
        <v>0</v>
      </c>
      <c r="P31" s="115">
        <f>SUM(' výsledovky 17-22-24'!AE166:AE171)</f>
        <v>-330.53</v>
      </c>
      <c r="Q31" s="182">
        <v>-300</v>
      </c>
      <c r="R31" s="115">
        <f>SUM(' výsledovky 17-22-24'!AG166:AG171)</f>
        <v>-1351.23</v>
      </c>
      <c r="S31" s="182">
        <v>-800</v>
      </c>
      <c r="T31" s="115">
        <f>SUM(' výsledovky 17-22-24'!AI166:AI171)</f>
        <v>-2136.88</v>
      </c>
      <c r="U31" s="182">
        <v>-2200</v>
      </c>
      <c r="V31" s="115">
        <f>SUM(' výsledovky 17-22-24'!AK166:AK171)</f>
        <v>-2490.4899999999998</v>
      </c>
      <c r="W31" s="182">
        <v>-1000</v>
      </c>
      <c r="X31" s="115">
        <f>SUM(' výsledovky 17-22-24'!AM166:AM171)</f>
        <v>0</v>
      </c>
      <c r="Z31" s="131">
        <f t="shared" si="37"/>
        <v>2.6711</v>
      </c>
      <c r="AA31" s="131">
        <f t="shared" si="43"/>
        <v>1.1320409090909089</v>
      </c>
      <c r="AB31" s="131"/>
    </row>
    <row r="32" spans="2:28" x14ac:dyDescent="0.25">
      <c r="C32" s="82" t="s">
        <v>251</v>
      </c>
      <c r="D32" s="78"/>
      <c r="E32" s="95"/>
      <c r="F32" s="226"/>
      <c r="G32" s="114"/>
      <c r="H32" s="133"/>
      <c r="I32" s="100"/>
      <c r="J32" s="133">
        <f>' výsledovky 17-22-24'!Y172</f>
        <v>-5210.1499999999996</v>
      </c>
      <c r="K32" s="148"/>
      <c r="L32" s="115">
        <f>' výsledovky 17-22-24'!AA172</f>
        <v>-10694.37</v>
      </c>
      <c r="M32" s="182">
        <v>-3530.7</v>
      </c>
      <c r="N32" s="115">
        <f>' výsledovky 17-22-24'!AC172</f>
        <v>-5928.08</v>
      </c>
      <c r="O32" s="182">
        <f>'FP vzdelávanie'!F45</f>
        <v>-4280.7</v>
      </c>
      <c r="P32" s="115">
        <f>' výsledovky 17-22-24'!AE172</f>
        <v>-4390.08</v>
      </c>
      <c r="Q32" s="182">
        <f>--'FP vzdelávanie'!F62</f>
        <v>-4280.7</v>
      </c>
      <c r="R32" s="115">
        <f>' výsledovky 17-22-24'!AG172</f>
        <v>-2241.61</v>
      </c>
      <c r="S32" s="182">
        <f>--'FP vzdelávanie'!F78</f>
        <v>-4280.7</v>
      </c>
      <c r="T32" s="115">
        <f>' výsledovky 17-22-24'!AI172</f>
        <v>-1525.5</v>
      </c>
      <c r="U32" s="182">
        <f>-'FP vzdelávanie'!H94</f>
        <v>-6200</v>
      </c>
      <c r="V32" s="115">
        <f>' výsledovky 17-22-24'!AK172</f>
        <v>-755.63</v>
      </c>
      <c r="W32" s="182">
        <f>'FP vzdelávanie'!F109</f>
        <v>-1170</v>
      </c>
      <c r="X32" s="115">
        <f>' výsledovky 17-22-24'!AM172</f>
        <v>0</v>
      </c>
      <c r="Z32" s="131">
        <f t="shared" si="37"/>
        <v>0.35636694933071694</v>
      </c>
      <c r="AA32" s="131">
        <f t="shared" si="43"/>
        <v>0.1218758064516129</v>
      </c>
      <c r="AB32" s="131"/>
    </row>
    <row r="33" spans="2:28" x14ac:dyDescent="0.25">
      <c r="B33" s="124" t="s">
        <v>229</v>
      </c>
      <c r="C33" s="82" t="s">
        <v>193</v>
      </c>
      <c r="D33" s="78">
        <f>'2015 -  2016'!J28</f>
        <v>20000</v>
      </c>
      <c r="E33" s="78">
        <f>'2015 -  2016'!Q28</f>
        <v>15387.42</v>
      </c>
      <c r="F33" s="100">
        <f>15387.42</f>
        <v>15387.42</v>
      </c>
      <c r="G33" s="114">
        <f>'2015 -  2016'!U28+'2015 -  2016'!U30+'2015 -  2016'!U29</f>
        <v>5760</v>
      </c>
      <c r="H33" s="133">
        <f>' výsledovky 17-22-24'!V182</f>
        <v>-5092.5</v>
      </c>
      <c r="I33" s="100">
        <v>-3000</v>
      </c>
      <c r="J33" s="133">
        <f>' výsledovky 17-22-24'!Y182</f>
        <v>-5853.92</v>
      </c>
      <c r="K33" s="148">
        <v>-3000</v>
      </c>
      <c r="L33" s="115">
        <f>' výsledovky 17-22-24'!AA182</f>
        <v>-8764.16</v>
      </c>
      <c r="M33" s="182">
        <v>-4000</v>
      </c>
      <c r="N33" s="115">
        <f>' výsledovky 17-22-24'!AC182</f>
        <v>0</v>
      </c>
      <c r="O33" s="182">
        <v>-5000</v>
      </c>
      <c r="P33" s="115">
        <f>' výsledovky 17-22-24'!AE182</f>
        <v>-408.33</v>
      </c>
      <c r="Q33" s="182">
        <f>--'FP vzdelávanie'!G56</f>
        <v>-3800</v>
      </c>
      <c r="R33" s="115">
        <f>' výsledovky 17-22-24'!AG182</f>
        <v>-3466.65</v>
      </c>
      <c r="S33" s="182">
        <f>'FP vzdelávanie'!G72</f>
        <v>-5300</v>
      </c>
      <c r="T33" s="115">
        <f>' výsledovky 17-22-24'!AI182</f>
        <v>-5633.35</v>
      </c>
      <c r="U33" s="182">
        <f>'FP vzdelávanie'!G88</f>
        <v>-4300</v>
      </c>
      <c r="V33" s="115">
        <f>' výsledovky 17-22-24'!AK182</f>
        <v>-2875.01</v>
      </c>
      <c r="W33" s="182">
        <f>'FP vzdelávanie'!G103</f>
        <v>-3800</v>
      </c>
      <c r="X33" s="115">
        <f>' výsledovky 17-22-24'!AM182</f>
        <v>0</v>
      </c>
      <c r="Z33" s="131">
        <f t="shared" si="37"/>
        <v>1.0628962264150945</v>
      </c>
      <c r="AA33" s="131">
        <f t="shared" si="43"/>
        <v>0.66860697674418612</v>
      </c>
      <c r="AB33" s="131"/>
    </row>
    <row r="34" spans="2:28" x14ac:dyDescent="0.25">
      <c r="B34" s="124" t="s">
        <v>229</v>
      </c>
      <c r="C34" s="82" t="s">
        <v>195</v>
      </c>
      <c r="D34" s="78">
        <f>'2015 -  2016'!J13</f>
        <v>500</v>
      </c>
      <c r="E34" s="78">
        <f>'2015 -  2016'!Q13</f>
        <v>81.27</v>
      </c>
      <c r="F34" s="100">
        <f>81.27+48+53116.82</f>
        <v>53246.09</v>
      </c>
      <c r="G34" s="114">
        <f>'2015 -  2016'!U33+'2015 -  2016'!U34+'2015 -  2016'!U35+'2015 -  2016'!U13+'2015 -  2016'!U32+'2015 -  2016'!U36</f>
        <v>45970</v>
      </c>
      <c r="H34" s="133">
        <f>' výsledovky 17-22-24'!V189</f>
        <v>-32758.66</v>
      </c>
      <c r="I34" s="100">
        <v>-10400</v>
      </c>
      <c r="J34" s="133">
        <f>' výsledovky 17-22-24'!Y189</f>
        <v>-23381.41</v>
      </c>
      <c r="K34" s="148">
        <v>-10400</v>
      </c>
      <c r="L34" s="115">
        <f>' výsledovky 17-22-24'!AA189</f>
        <v>-30881.599999999999</v>
      </c>
      <c r="M34" s="182">
        <v>-7000</v>
      </c>
      <c r="N34" s="115">
        <f>' výsledovky 17-22-24'!AC189</f>
        <v>-731.7</v>
      </c>
      <c r="O34" s="182">
        <f>'FP vzdelávanie'!F41-O33-O35</f>
        <v>-12020</v>
      </c>
      <c r="P34" s="115">
        <f>' výsledovky 17-22-24'!AE189</f>
        <v>-938.19</v>
      </c>
      <c r="Q34" s="182">
        <f>--'FP vzdelávanie'!F56</f>
        <v>-22300</v>
      </c>
      <c r="R34" s="115">
        <f>' výsledovky 17-22-24'!AG189</f>
        <v>-14216.85</v>
      </c>
      <c r="S34" s="182">
        <f>'FP vzdelávanie'!F72</f>
        <v>-24850</v>
      </c>
      <c r="T34" s="115">
        <f>' výsledovky 17-22-24'!AI189</f>
        <v>-19108.02</v>
      </c>
      <c r="U34" s="182">
        <f>'FP vzdelávanie'!F88</f>
        <v>-24050</v>
      </c>
      <c r="V34" s="115">
        <f>' výsledovky 17-22-24'!AK189</f>
        <v>-15022.88</v>
      </c>
      <c r="W34" s="182">
        <f>'FP vzdelávanie'!F103</f>
        <v>-23000</v>
      </c>
      <c r="X34" s="115">
        <f>' výsledovky 17-22-24'!AM189</f>
        <v>0</v>
      </c>
      <c r="Z34" s="131">
        <f t="shared" si="37"/>
        <v>0.76893440643863176</v>
      </c>
      <c r="AA34" s="131">
        <f t="shared" si="43"/>
        <v>0.62465197505197501</v>
      </c>
      <c r="AB34" s="131"/>
    </row>
    <row r="35" spans="2:28" x14ac:dyDescent="0.25">
      <c r="B35" s="124" t="s">
        <v>229</v>
      </c>
      <c r="C35" s="82" t="s">
        <v>194</v>
      </c>
      <c r="D35" s="78"/>
      <c r="E35" s="95"/>
      <c r="F35" s="226"/>
      <c r="G35" s="114"/>
      <c r="H35" s="133">
        <f>' výsledovky 17-22-24'!V185</f>
        <v>-2982.78</v>
      </c>
      <c r="I35" s="100">
        <v>-2500</v>
      </c>
      <c r="J35" s="133">
        <f>' výsledovky 17-22-24'!Y185</f>
        <v>-1722.81</v>
      </c>
      <c r="K35" s="148">
        <v>-1000</v>
      </c>
      <c r="L35" s="115">
        <f>' výsledovky 17-22-24'!AA185</f>
        <v>-533.4</v>
      </c>
      <c r="M35" s="182">
        <v>-1000</v>
      </c>
      <c r="N35" s="115">
        <f>' výsledovky 17-22-24'!AC185</f>
        <v>0</v>
      </c>
      <c r="O35" s="182">
        <v>-1000</v>
      </c>
      <c r="P35" s="115">
        <f>' výsledovky 17-22-24'!AE185</f>
        <v>0</v>
      </c>
      <c r="Q35" s="182">
        <v>-500</v>
      </c>
      <c r="R35" s="115">
        <f>' výsledovky 17-22-24'!AG185</f>
        <v>-318.25</v>
      </c>
      <c r="S35" s="182">
        <v>-500</v>
      </c>
      <c r="T35" s="115">
        <f>' výsledovky 17-22-24'!AI185</f>
        <v>-694.2</v>
      </c>
      <c r="U35" s="182">
        <v>-500</v>
      </c>
      <c r="V35" s="115">
        <f>' výsledovky 17-22-24'!AK185</f>
        <v>-1434.5</v>
      </c>
      <c r="W35" s="182">
        <v>-500</v>
      </c>
      <c r="X35" s="115">
        <f>' výsledovky 17-22-24'!AM185</f>
        <v>0</v>
      </c>
      <c r="Z35" s="131">
        <f t="shared" si="37"/>
        <v>1.3884000000000001</v>
      </c>
      <c r="AA35" s="131">
        <f t="shared" si="43"/>
        <v>2.8690000000000002</v>
      </c>
      <c r="AB35" s="131"/>
    </row>
    <row r="36" spans="2:28" x14ac:dyDescent="0.25">
      <c r="B36" s="124" t="s">
        <v>229</v>
      </c>
      <c r="C36" s="82" t="s">
        <v>196</v>
      </c>
      <c r="D36" s="78">
        <f>'2015 -  2016'!J31</f>
        <v>3000</v>
      </c>
      <c r="E36" s="78">
        <f>'2015 -  2016'!Q31</f>
        <v>1525.49</v>
      </c>
      <c r="F36" s="100">
        <v>1408.54</v>
      </c>
      <c r="G36" s="114">
        <f>'2015 -  2016'!U31</f>
        <v>1200</v>
      </c>
      <c r="H36" s="133">
        <f>' výsledovky 17-22-24'!V184</f>
        <v>-8619.17</v>
      </c>
      <c r="I36" s="100">
        <v>-1150</v>
      </c>
      <c r="J36" s="133">
        <f>' výsledovky 17-22-24'!Y184</f>
        <v>-1770.25</v>
      </c>
      <c r="K36" s="148">
        <v>-1500</v>
      </c>
      <c r="L36" s="115">
        <f>' výsledovky 17-22-24'!AA184</f>
        <v>-2671.05</v>
      </c>
      <c r="M36" s="182">
        <v>-1000</v>
      </c>
      <c r="N36" s="115">
        <f>' výsledovky 17-22-24'!AC184</f>
        <v>0</v>
      </c>
      <c r="O36" s="182">
        <v>-1000</v>
      </c>
      <c r="P36" s="115">
        <f>' výsledovky 17-22-24'!AE184</f>
        <v>0</v>
      </c>
      <c r="Q36" s="182">
        <v>-500</v>
      </c>
      <c r="R36" s="115">
        <f>' výsledovky 17-22-24'!AG184</f>
        <v>-2331.86</v>
      </c>
      <c r="S36" s="182">
        <v>-500</v>
      </c>
      <c r="T36" s="115">
        <f>' výsledovky 17-22-24'!AI184</f>
        <v>-3936.92</v>
      </c>
      <c r="U36" s="182">
        <v>-4000</v>
      </c>
      <c r="V36" s="115">
        <f>' výsledovky 17-22-24'!AK184</f>
        <v>-3443.1</v>
      </c>
      <c r="W36" s="182">
        <v>-4000</v>
      </c>
      <c r="X36" s="115">
        <f>' výsledovky 17-22-24'!AM184</f>
        <v>0</v>
      </c>
      <c r="Z36" s="131">
        <f t="shared" si="37"/>
        <v>7.8738400000000004</v>
      </c>
      <c r="AA36" s="131">
        <f t="shared" si="43"/>
        <v>0.86077499999999996</v>
      </c>
      <c r="AB36" s="131"/>
    </row>
    <row r="37" spans="2:28" x14ac:dyDescent="0.25">
      <c r="B37" s="124" t="s">
        <v>229</v>
      </c>
      <c r="C37" s="82" t="s">
        <v>197</v>
      </c>
      <c r="D37" s="78">
        <f>'2015 -  2016'!J23</f>
        <v>66000</v>
      </c>
      <c r="E37" s="78">
        <f>'2015 -  2016'!Q23</f>
        <v>62213.65</v>
      </c>
      <c r="F37" s="100">
        <v>62213.65</v>
      </c>
      <c r="G37" s="114">
        <f>'2015 -  2016'!U23+'2015 -  2016'!U24+'2015 -  2016'!U25+'2015 -  2016'!U26</f>
        <v>53400</v>
      </c>
      <c r="H37" s="133">
        <f>' výsledovky 17-22-24'!V183</f>
        <v>-40006.86</v>
      </c>
      <c r="I37" s="100">
        <v>-46715</v>
      </c>
      <c r="J37" s="133">
        <f>' výsledovky 17-22-24'!Y183</f>
        <v>-50791</v>
      </c>
      <c r="K37" s="148">
        <f>'FP vzdelávanie'!G11</f>
        <v>-36670</v>
      </c>
      <c r="L37" s="115">
        <f>' výsledovky 17-22-24'!AA183</f>
        <v>-46630</v>
      </c>
      <c r="M37" s="182">
        <v>-25225</v>
      </c>
      <c r="N37" s="115">
        <f>' výsledovky 17-22-24'!AC183</f>
        <v>-31420</v>
      </c>
      <c r="O37" s="216">
        <f>'FP vzdelávanie'!G41</f>
        <v>-45200</v>
      </c>
      <c r="P37" s="115">
        <f>' výsledovky 17-22-24'!AE183</f>
        <v>-51065.599999999999</v>
      </c>
      <c r="Q37" s="148">
        <f>'FP vzdelávanie'!H56</f>
        <v>-46800</v>
      </c>
      <c r="R37" s="115">
        <f>' výsledovky 17-22-24'!AG183</f>
        <v>-48129.440000000002</v>
      </c>
      <c r="S37" s="148">
        <f>'FP vzdelávanie'!H72</f>
        <v>-53515</v>
      </c>
      <c r="T37" s="115">
        <f>' výsledovky 17-22-24'!AI183</f>
        <v>-49564.99</v>
      </c>
      <c r="U37" s="148">
        <f>'FP vzdelávanie'!H88</f>
        <v>-52800</v>
      </c>
      <c r="V37" s="115">
        <f>' výsledovky 17-22-24'!AK183</f>
        <v>-51725</v>
      </c>
      <c r="W37" s="148">
        <f>'FP vzdelávanie'!H103</f>
        <v>-43200</v>
      </c>
      <c r="X37" s="115">
        <f>' výsledovky 17-22-24'!AM183</f>
        <v>0</v>
      </c>
      <c r="Z37" s="131">
        <f t="shared" si="37"/>
        <v>0.92618873213117814</v>
      </c>
      <c r="AA37" s="131">
        <f t="shared" si="43"/>
        <v>0.97964015151515149</v>
      </c>
      <c r="AB37" s="131"/>
    </row>
    <row r="38" spans="2:28" x14ac:dyDescent="0.25">
      <c r="B38" s="124" t="s">
        <v>229</v>
      </c>
      <c r="C38" s="82" t="s">
        <v>213</v>
      </c>
      <c r="D38" s="78">
        <f>'2015 -  2016'!J45</f>
        <v>2000</v>
      </c>
      <c r="E38" s="78">
        <f>'2015 -  2016'!Q45</f>
        <v>940</v>
      </c>
      <c r="F38" s="100"/>
      <c r="G38" s="114">
        <f>'2015 -  2016'!U45</f>
        <v>770</v>
      </c>
      <c r="H38" s="133">
        <f>' výsledovky 17-22-24'!V188+' výsledovky 17-22-24'!V199</f>
        <v>0</v>
      </c>
      <c r="I38" s="100">
        <v>-500</v>
      </c>
      <c r="J38" s="133">
        <f>' výsledovky 17-22-24'!Y188+' výsledovky 17-22-24'!Y199</f>
        <v>-170</v>
      </c>
      <c r="K38" s="148">
        <v>-272</v>
      </c>
      <c r="L38" s="115">
        <f>' výsledovky 17-22-24'!AA188+' výsledovky 17-22-24'!AA199</f>
        <v>-20</v>
      </c>
      <c r="M38" s="182">
        <v>-272</v>
      </c>
      <c r="N38" s="115">
        <f>' výsledovky 17-22-24'!AC188+' výsledovky 17-22-24'!AC199</f>
        <v>-69.959999999999994</v>
      </c>
      <c r="O38" s="216">
        <f>-272-4800</f>
        <v>-5072</v>
      </c>
      <c r="P38" s="115">
        <f>' výsledovky 17-22-24'!AE188+' výsledovky 17-22-24'!AE199</f>
        <v>-79.98</v>
      </c>
      <c r="Q38" s="216">
        <v>-100</v>
      </c>
      <c r="R38" s="115">
        <f>' výsledovky 17-22-24'!AG188+' výsledovky 17-22-24'!AG199</f>
        <v>0</v>
      </c>
      <c r="S38" s="216">
        <v>-100</v>
      </c>
      <c r="T38" s="115">
        <f>' výsledovky 17-22-24'!AI188+' výsledovky 17-22-24'!AI199</f>
        <v>0</v>
      </c>
      <c r="U38" s="216">
        <v>-100</v>
      </c>
      <c r="V38" s="115">
        <f>' výsledovky 17-22-24'!AK188+' výsledovky 17-22-24'!AK199</f>
        <v>0</v>
      </c>
      <c r="W38" s="216">
        <v>-100</v>
      </c>
      <c r="X38" s="115">
        <f>' výsledovky 17-22-24'!AM188+' výsledovky 17-22-24'!AM199</f>
        <v>0</v>
      </c>
      <c r="Z38" s="131">
        <f t="shared" si="37"/>
        <v>0</v>
      </c>
      <c r="AA38" s="131">
        <f t="shared" si="43"/>
        <v>0</v>
      </c>
      <c r="AB38" s="131"/>
    </row>
    <row r="39" spans="2:28" x14ac:dyDescent="0.25">
      <c r="B39" s="124" t="s">
        <v>229</v>
      </c>
      <c r="C39" s="82" t="s">
        <v>198</v>
      </c>
      <c r="D39" s="78">
        <f>'2015 -  2016'!J16+'2015 -  2016'!J46+'2015 -  2016'!J59</f>
        <v>5600</v>
      </c>
      <c r="E39" s="78">
        <f>'2015 -  2016'!Q16+'2015 -  2016'!Q46+'2015 -  2016'!Q59</f>
        <v>6834.49</v>
      </c>
      <c r="F39" s="100"/>
      <c r="G39" s="114">
        <f>'2015 -  2016'!U16+'2015 -  2016'!U59</f>
        <v>550</v>
      </c>
      <c r="H39" s="133">
        <f>' výsledovky 17-22-24'!V174+' výsledovky 17-22-24'!V177</f>
        <v>-94.81</v>
      </c>
      <c r="I39" s="100">
        <v>-400</v>
      </c>
      <c r="J39" s="133">
        <f>' výsledovky 17-22-24'!Y174+' výsledovky 17-22-24'!Y177</f>
        <v>-31.82</v>
      </c>
      <c r="K39" s="148">
        <v>-100</v>
      </c>
      <c r="L39" s="115">
        <f>' výsledovky 17-22-24'!AA174+' výsledovky 17-22-24'!AA175+' výsledovky 17-22-24'!AA176+' výsledovky 17-22-24'!AA177</f>
        <v>-319.42</v>
      </c>
      <c r="M39" s="182">
        <v>-200</v>
      </c>
      <c r="N39" s="115">
        <f>' výsledovky 17-22-24'!AC174+' výsledovky 17-22-24'!AC175+' výsledovky 17-22-24'!AC176+' výsledovky 17-22-24'!AC177</f>
        <v>0</v>
      </c>
      <c r="O39" s="182">
        <v>-200</v>
      </c>
      <c r="P39" s="115">
        <f>' výsledovky 17-22-24'!AE174+' výsledovky 17-22-24'!AE175+' výsledovky 17-22-24'!AE176+' výsledovky 17-22-24'!AE177</f>
        <v>-119.81</v>
      </c>
      <c r="Q39" s="182">
        <v>-200</v>
      </c>
      <c r="R39" s="115">
        <f>' výsledovky 17-22-24'!AG174+' výsledovky 17-22-24'!AG175+' výsledovky 17-22-24'!AG176+' výsledovky 17-22-24'!AG177</f>
        <v>-798.62</v>
      </c>
      <c r="S39" s="182">
        <v>-500</v>
      </c>
      <c r="T39" s="115">
        <f>' výsledovky 17-22-24'!AI174+' výsledovky 17-22-24'!AI175+' výsledovky 17-22-24'!AI176+' výsledovky 17-22-24'!AI177</f>
        <v>-660.64</v>
      </c>
      <c r="U39" s="182">
        <v>-500</v>
      </c>
      <c r="V39" s="115">
        <f>' výsledovky 17-22-24'!AK174+' výsledovky 17-22-24'!AK175+' výsledovky 17-22-24'!AK176+' výsledovky 17-22-24'!AK177</f>
        <v>-393.04</v>
      </c>
      <c r="W39" s="182">
        <v>-500</v>
      </c>
      <c r="X39" s="115">
        <f>' výsledovky 17-22-24'!AM174+' výsledovky 17-22-24'!AM175+' výsledovky 17-22-24'!AM176+' výsledovky 17-22-24'!AM177</f>
        <v>0</v>
      </c>
      <c r="Z39" s="131">
        <f t="shared" si="37"/>
        <v>1.32128</v>
      </c>
      <c r="AA39" s="131">
        <f t="shared" si="43"/>
        <v>0.78608</v>
      </c>
      <c r="AB39" s="131"/>
    </row>
    <row r="40" spans="2:28" x14ac:dyDescent="0.25">
      <c r="B40" s="124" t="s">
        <v>229</v>
      </c>
      <c r="C40" s="82" t="s">
        <v>214</v>
      </c>
      <c r="D40" s="78">
        <f>'2015 -  2016'!H6</f>
        <v>64350</v>
      </c>
      <c r="E40" s="95"/>
      <c r="F40" s="226">
        <f>173112.12-F31-F32-F33-F34-F35-F36-F37-F38-F39-F42-F43</f>
        <v>4401.5999999999894</v>
      </c>
      <c r="G40" s="114">
        <f>'2015 -  2016'!U17+'2015 -  2016'!U22</f>
        <v>200</v>
      </c>
      <c r="H40" s="133">
        <f>SUM(' výsledovky 17-22-24'!V166:V226)-'Finančný plán'!H31-'Finančný plán'!H33-'Finančný plán'!H34-'Finančný plán'!H35-'Finančný plán'!H36-'Finančný plán'!H37-'Finančný plán'!H38-'Finančný plán'!H39-'Finančný plán'!H42-'Finančný plán'!H43</f>
        <v>-1645.190000000006</v>
      </c>
      <c r="I40" s="100">
        <v>-200</v>
      </c>
      <c r="J40" s="133">
        <f>SUM(' výsledovky 17-22-24'!Y166:Y226)-'Finančný plán'!J31-J32-'Finančný plán'!J33-'Finančný plán'!J34-'Finančný plán'!J35-'Finančný plán'!J36-'Finančný plán'!J37-'Finančný plán'!J38-'Finančný plán'!J39-'Finančný plán'!J42-'Finančný plán'!J43</f>
        <v>-13013.299999999997</v>
      </c>
      <c r="K40" s="148">
        <v>-12000</v>
      </c>
      <c r="L40" s="115">
        <f>SUM(' výsledovky 17-22-24'!AA166:AA226)-'Finančný plán'!L31-L32-'Finančný plán'!L33-'Finančný plán'!L34-'Finančný plán'!L35-'Finančný plán'!L36-'Finančný plán'!L37-'Finančný plán'!L38-'Finančný plán'!L39-'Finančný plán'!L42-'Finančný plán'!L43</f>
        <v>-8496.9999999999727</v>
      </c>
      <c r="M40" s="182">
        <v>-9000</v>
      </c>
      <c r="N40" s="115">
        <v>-2875.97</v>
      </c>
      <c r="O40" s="182"/>
      <c r="P40" s="115">
        <v>-2340.94</v>
      </c>
      <c r="Q40" s="182">
        <v>-2000</v>
      </c>
      <c r="R40" s="115">
        <v>-1455.26</v>
      </c>
      <c r="S40" s="182">
        <v>-2000</v>
      </c>
      <c r="T40" s="115">
        <v>-3012.26</v>
      </c>
      <c r="U40" s="182">
        <v>-2000</v>
      </c>
      <c r="V40" s="115">
        <v>-6926.14</v>
      </c>
      <c r="W40" s="182">
        <v>-2000</v>
      </c>
      <c r="X40" s="115">
        <v>0</v>
      </c>
      <c r="Z40" s="131">
        <f t="shared" si="37"/>
        <v>1.5061300000000002</v>
      </c>
      <c r="AA40" s="131">
        <f t="shared" si="43"/>
        <v>3.4630700000000001</v>
      </c>
      <c r="AB40" s="131"/>
    </row>
    <row r="41" spans="2:28" x14ac:dyDescent="0.25">
      <c r="B41" s="124" t="s">
        <v>229</v>
      </c>
      <c r="C41" s="74" t="s">
        <v>190</v>
      </c>
      <c r="D41" s="75">
        <f>-SUM(D42:D43)</f>
        <v>-39600</v>
      </c>
      <c r="E41" s="94">
        <f>-SUM(E42:E43)</f>
        <v>-89164.560000000012</v>
      </c>
      <c r="F41" s="94">
        <f>-SUM(F42:F43)</f>
        <v>-34489.760000000002</v>
      </c>
      <c r="G41" s="102">
        <f>-SUM(G42:G43)</f>
        <v>-9823.2000000000007</v>
      </c>
      <c r="H41" s="94">
        <f>SUM(H42:H43)</f>
        <v>-17018.79</v>
      </c>
      <c r="I41" s="99">
        <f t="shared" ref="I41:J41" si="44">SUM(I42:I43)</f>
        <v>-14310.800000000001</v>
      </c>
      <c r="J41" s="94">
        <f t="shared" si="44"/>
        <v>-17459.940000000002</v>
      </c>
      <c r="K41" s="102">
        <f t="shared" ref="K41:O41" si="45">SUM(K42:K43)</f>
        <v>-16068.400000000001</v>
      </c>
      <c r="L41" s="76">
        <f t="shared" si="45"/>
        <v>-14758.47</v>
      </c>
      <c r="M41" s="102">
        <f t="shared" ref="M41" si="46">SUM(M42:M43)</f>
        <v>-14578.800000000001</v>
      </c>
      <c r="N41" s="76">
        <f t="shared" ref="N41:Q41" si="47">SUM(N42:N43)</f>
        <v>-13952.349999999999</v>
      </c>
      <c r="O41" s="102">
        <f t="shared" si="45"/>
        <v>-14578.800000000001</v>
      </c>
      <c r="P41" s="76">
        <f t="shared" si="47"/>
        <v>-17148.689999999999</v>
      </c>
      <c r="Q41" s="102">
        <f t="shared" si="47"/>
        <v>-14780.800000000001</v>
      </c>
      <c r="R41" s="76">
        <f t="shared" ref="R41:S41" si="48">SUM(R42:R43)</f>
        <v>-18560.829999999998</v>
      </c>
      <c r="S41" s="102">
        <f t="shared" si="48"/>
        <v>-16714.160000000003</v>
      </c>
      <c r="T41" s="76">
        <f t="shared" ref="T41:U41" si="49">SUM(T42:T43)</f>
        <v>-19520.93</v>
      </c>
      <c r="U41" s="102">
        <f t="shared" si="49"/>
        <v>-19928</v>
      </c>
      <c r="V41" s="76">
        <f t="shared" ref="V41:W41" si="50">SUM(V42:V43)</f>
        <v>-21263.33</v>
      </c>
      <c r="W41" s="102">
        <f t="shared" si="50"/>
        <v>-19883.369750000002</v>
      </c>
      <c r="X41" s="76">
        <f t="shared" ref="X41" si="51">SUM(X42:X43)</f>
        <v>0</v>
      </c>
      <c r="Z41" s="131">
        <f t="shared" si="37"/>
        <v>1.167927673302158</v>
      </c>
      <c r="AA41" s="131">
        <f t="shared" si="43"/>
        <v>1.0670077278201526</v>
      </c>
      <c r="AB41" s="131"/>
    </row>
    <row r="42" spans="2:28" x14ac:dyDescent="0.25">
      <c r="B42" s="124" t="s">
        <v>229</v>
      </c>
      <c r="C42" s="77" t="s">
        <v>40</v>
      </c>
      <c r="D42" s="78">
        <f>'2015 -  2016'!H49+'2015 -  2016'!H50+'2015 -  2016'!H53+'2015 -  2016'!H54</f>
        <v>38800</v>
      </c>
      <c r="E42" s="78">
        <f>'2015 -  2016'!Q49+'2015 -  2016'!Q50+'2015 -  2016'!Q53+'2015 -  2016'!Q54+'2015 -  2016'!Q57</f>
        <v>87462.090000000011</v>
      </c>
      <c r="F42" s="100">
        <f>24815.52+8412.66+321.41</f>
        <v>33549.590000000004</v>
      </c>
      <c r="G42" s="114">
        <f>'2015 -  2016'!U49+'2015 -  2016'!U53</f>
        <v>8923.2000000000007</v>
      </c>
      <c r="H42" s="133">
        <f>' výsledovky 17-22-24'!V202+' výsledovky 17-22-24'!V206+' výsledovky 17-22-24'!V207+' výsledovky 17-22-24'!V210</f>
        <v>-16257.29</v>
      </c>
      <c r="I42" s="100">
        <f>-(13*800*1.352)</f>
        <v>-14060.800000000001</v>
      </c>
      <c r="J42" s="133">
        <f>' výsledovky 17-22-24'!Y202+' výsledovky 17-22-24'!Y206+' výsledovky 17-22-24'!Y207+' výsledovky 17-22-24'!Y210</f>
        <v>-16941.86</v>
      </c>
      <c r="K42" s="148">
        <f>-(13*900*1.352)</f>
        <v>-15818.400000000001</v>
      </c>
      <c r="L42" s="115">
        <f>' výsledovky 17-22-24'!AA202+' výsledovky 17-22-24'!AA203+' výsledovky 17-22-24'!AA204+' výsledovky 17-22-24'!AA205+' výsledovky 17-22-24'!AA206+' výsledovky 17-22-24'!AA207+' výsledovky 17-22-24'!AA210+' výsledovky 17-22-24'!AA211</f>
        <v>-14207.33</v>
      </c>
      <c r="M42" s="148">
        <f>-(13*800*1.352)</f>
        <v>-14060.800000000001</v>
      </c>
      <c r="N42" s="115">
        <f>' výsledovky 17-22-24'!AC202+' výsledovky 17-22-24'!AC203+' výsledovky 17-22-24'!AC204+' výsledovky 17-22-24'!AC205+' výsledovky 17-22-24'!AC206+' výsledovky 17-22-24'!AC207+' výsledovky 17-22-24'!AC210+' výsledovky 17-22-24'!AC211</f>
        <v>-13435.31</v>
      </c>
      <c r="O42" s="148">
        <f>-(13*800*1.352)</f>
        <v>-14060.800000000001</v>
      </c>
      <c r="P42" s="115">
        <f>' výsledovky 17-22-24'!AE202+' výsledovky 17-22-24'!AE203+' výsledovky 17-22-24'!AE204+' výsledovky 17-22-24'!AE205+' výsledovky 17-22-24'!AE206+' výsledovky 17-22-24'!AE207+' výsledovky 17-22-24'!AE210+' výsledovky 17-22-24'!AE211</f>
        <v>-16477.099999999999</v>
      </c>
      <c r="Q42" s="148">
        <f>-(13*800*1.352)</f>
        <v>-14060.800000000001</v>
      </c>
      <c r="R42" s="115">
        <f>' výsledovky 17-22-24'!AG202+' výsledovky 17-22-24'!AG203+' výsledovky 17-22-24'!AG204+' výsledovky 17-22-24'!AG205+' výsledovky 17-22-24'!AG206+' výsledovky 17-22-24'!AG207+' výsledovky 17-22-24'!AG210+' výsledovky 17-22-24'!AG211</f>
        <v>-17798.419999999998</v>
      </c>
      <c r="S42" s="148">
        <f>-(13*910*1.352)</f>
        <v>-15994.160000000002</v>
      </c>
      <c r="T42" s="115">
        <f>' výsledovky 17-22-24'!AI202+' výsledovky 17-22-24'!AI203+' výsledovky 17-22-24'!AI204+' výsledovky 17-22-24'!AI205+' výsledovky 17-22-24'!AI206+' výsledovky 17-22-24'!AI207+' výsledovky 17-22-24'!AI210+' výsledovky 17-22-24'!AI211</f>
        <v>-18580.29</v>
      </c>
      <c r="U42" s="148">
        <f>-(14*1000*1.352)</f>
        <v>-18928</v>
      </c>
      <c r="V42" s="115">
        <f>' výsledovky 17-22-24'!AK202+' výsledovky 17-22-24'!AK203+' výsledovky 17-22-24'!AK204+' výsledovky 17-22-24'!AK205+' výsledovky 17-22-24'!AK206+' výsledovky 17-22-24'!AK207+' výsledovky 17-22-24'!AK210+' výsledovky 17-22-24'!AK211</f>
        <v>-20201.91</v>
      </c>
      <c r="W42" s="148">
        <f>-(14*1100*1.362)</f>
        <v>-20974.800000000003</v>
      </c>
      <c r="X42" s="115">
        <f>' výsledovky 17-22-24'!AM202+' výsledovky 17-22-24'!AM203+' výsledovky 17-22-24'!AM204+' výsledovky 17-22-24'!AM205+' výsledovky 17-22-24'!AM206+' výsledovky 17-22-24'!AM207+' výsledovky 17-22-24'!AM210+' výsledovky 17-22-24'!AM211</f>
        <v>0</v>
      </c>
      <c r="Z42" s="131">
        <f t="shared" si="37"/>
        <v>1.1616921426320606</v>
      </c>
      <c r="AA42" s="131">
        <f t="shared" si="43"/>
        <v>1.0673029374471683</v>
      </c>
      <c r="AB42" s="131"/>
    </row>
    <row r="43" spans="2:28" ht="15.75" thickBot="1" x14ac:dyDescent="0.3">
      <c r="B43" s="124" t="s">
        <v>229</v>
      </c>
      <c r="C43" s="83" t="s">
        <v>16</v>
      </c>
      <c r="D43" s="84">
        <f>'2015 -  2016'!H56</f>
        <v>800</v>
      </c>
      <c r="E43" s="84">
        <f>'2015 -  2016'!Q56</f>
        <v>1702.4699999999998</v>
      </c>
      <c r="F43" s="103">
        <v>940.17</v>
      </c>
      <c r="G43" s="116">
        <f>'2015 -  2016'!U56</f>
        <v>900</v>
      </c>
      <c r="H43" s="134">
        <f>' výsledovky 17-22-24'!V208+' výsledovky 17-22-24'!V209</f>
        <v>-761.5</v>
      </c>
      <c r="I43" s="132">
        <f>-SUM(1*250)</f>
        <v>-250</v>
      </c>
      <c r="J43" s="134">
        <f>' výsledovky 17-22-24'!Y208+' výsledovky 17-22-24'!Y209</f>
        <v>-518.08000000000004</v>
      </c>
      <c r="K43" s="151">
        <f>-SUM(1*250)</f>
        <v>-250</v>
      </c>
      <c r="L43" s="150">
        <f>' výsledovky 17-22-24'!AA208+' výsledovky 17-22-24'!AA209</f>
        <v>-551.14</v>
      </c>
      <c r="M43" s="151">
        <v>-518</v>
      </c>
      <c r="N43" s="150">
        <f>' výsledovky 17-22-24'!AC208+' výsledovky 17-22-24'!AC209</f>
        <v>-517.04</v>
      </c>
      <c r="O43" s="151">
        <v>-518</v>
      </c>
      <c r="P43" s="150">
        <f>' výsledovky 17-22-24'!AE208+' výsledovky 17-22-24'!AE209</f>
        <v>-671.59</v>
      </c>
      <c r="Q43" s="149">
        <f>-60*12</f>
        <v>-720</v>
      </c>
      <c r="R43" s="150">
        <f>' výsledovky 17-22-24'!AG208+' výsledovky 17-22-24'!AG209</f>
        <v>-762.41</v>
      </c>
      <c r="S43" s="149">
        <f>-60*12</f>
        <v>-720</v>
      </c>
      <c r="T43" s="150">
        <f>' výsledovky 17-22-24'!AI208+' výsledovky 17-22-24'!AI209</f>
        <v>-940.64</v>
      </c>
      <c r="U43" s="149">
        <v>-1000</v>
      </c>
      <c r="V43" s="150">
        <f>' výsledovky 17-22-24'!AK208+' výsledovky 17-22-24'!AK209</f>
        <v>-1061.42</v>
      </c>
      <c r="W43" s="149">
        <f>(249-20+4)*4.57*1.025</f>
        <v>1091.4302500000001</v>
      </c>
      <c r="X43" s="150">
        <f>' výsledovky 17-22-24'!AM208+' výsledovky 17-22-24'!AM209</f>
        <v>0</v>
      </c>
      <c r="Z43" s="131">
        <f t="shared" si="37"/>
        <v>1.3064444444444445</v>
      </c>
      <c r="AA43" s="131">
        <f t="shared" si="43"/>
        <v>1.06142</v>
      </c>
      <c r="AB43" s="131"/>
    </row>
    <row r="44" spans="2:28" ht="16.5" thickTop="1" thickBot="1" x14ac:dyDescent="0.3">
      <c r="C44" s="85"/>
      <c r="D44" s="86"/>
      <c r="E44" s="86"/>
      <c r="F44" s="86"/>
      <c r="G44" s="86"/>
      <c r="H44" s="86"/>
      <c r="I44" s="86"/>
      <c r="J44" s="86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Z44" s="131"/>
      <c r="AB44" s="131"/>
    </row>
    <row r="45" spans="2:28" ht="15.75" thickTop="1" x14ac:dyDescent="0.25">
      <c r="B45" s="124" t="s">
        <v>230</v>
      </c>
      <c r="C45" s="87" t="s">
        <v>199</v>
      </c>
      <c r="D45" s="88">
        <f t="shared" ref="D45:J45" si="52">SUM(D46+D51)</f>
        <v>-59820</v>
      </c>
      <c r="E45" s="105">
        <f t="shared" si="52"/>
        <v>-6616.0300000000007</v>
      </c>
      <c r="F45" s="105">
        <f t="shared" si="52"/>
        <v>-35484.769999999997</v>
      </c>
      <c r="G45" s="104">
        <f>-'2015 -  2016'!T70</f>
        <v>-13445.16</v>
      </c>
      <c r="H45" s="105">
        <f>SUM(H46+H51)</f>
        <v>-10108.939999999999</v>
      </c>
      <c r="I45" s="106">
        <f t="shared" si="52"/>
        <v>-14112.880000000001</v>
      </c>
      <c r="J45" s="105">
        <f t="shared" si="52"/>
        <v>-9806.76</v>
      </c>
      <c r="K45" s="104">
        <f t="shared" ref="K45:O45" si="53">SUM(K46+K51)</f>
        <v>-9502.880000000001</v>
      </c>
      <c r="L45" s="89">
        <f t="shared" si="53"/>
        <v>-9087.1500000000015</v>
      </c>
      <c r="M45" s="104">
        <f t="shared" ref="M45" si="54">SUM(M46+M51)</f>
        <v>-8402.880000000001</v>
      </c>
      <c r="N45" s="89">
        <f t="shared" ref="N45:Q45" si="55">SUM(N46+N51)</f>
        <v>-9451.8599999999988</v>
      </c>
      <c r="O45" s="104">
        <f t="shared" si="53"/>
        <v>-8402.880000000001</v>
      </c>
      <c r="P45" s="89">
        <f t="shared" si="55"/>
        <v>-7830.4100000000008</v>
      </c>
      <c r="Q45" s="104">
        <f t="shared" si="55"/>
        <v>-8628.36</v>
      </c>
      <c r="R45" s="89">
        <f t="shared" ref="R45:S45" si="56">SUM(R46+R51)</f>
        <v>-8683.89</v>
      </c>
      <c r="S45" s="104">
        <f t="shared" si="56"/>
        <v>-9416.6</v>
      </c>
      <c r="T45" s="89">
        <f t="shared" ref="T45:U45" si="57">SUM(T46+T51)</f>
        <v>-9462.9900000000016</v>
      </c>
      <c r="U45" s="104">
        <f t="shared" si="57"/>
        <v>-9416.6</v>
      </c>
      <c r="V45" s="89">
        <f t="shared" ref="V45:W45" si="58">SUM(V46+V51)</f>
        <v>-10449.529999999999</v>
      </c>
      <c r="W45" s="104">
        <f t="shared" si="58"/>
        <v>-10337.66</v>
      </c>
      <c r="X45" s="89">
        <f t="shared" ref="X45" si="59">SUM(X46+X51)</f>
        <v>0</v>
      </c>
      <c r="Z45" s="131">
        <f>T45/S45</f>
        <v>1.0049264065586305</v>
      </c>
      <c r="AA45" s="131">
        <f t="shared" si="43"/>
        <v>1.1096924579997025</v>
      </c>
      <c r="AB45" s="131"/>
    </row>
    <row r="46" spans="2:28" x14ac:dyDescent="0.25">
      <c r="B46" s="124" t="s">
        <v>230</v>
      </c>
      <c r="C46" s="74" t="s">
        <v>200</v>
      </c>
      <c r="D46" s="75">
        <f>-SUM(D47:D50)</f>
        <v>-24600</v>
      </c>
      <c r="E46" s="94">
        <f>-SUM(E47:E50)</f>
        <v>-6616.0300000000007</v>
      </c>
      <c r="F46" s="94">
        <f>-SUM(F47:F50)</f>
        <v>-6019.56</v>
      </c>
      <c r="G46" s="102">
        <f>-SUM(G47:G50)</f>
        <v>-8442.76</v>
      </c>
      <c r="H46" s="94">
        <f>SUM(H47:H50)</f>
        <v>-3907.2599999999984</v>
      </c>
      <c r="I46" s="99">
        <f t="shared" ref="I46:J46" si="60">SUM(I47:I50)</f>
        <v>-7609.76</v>
      </c>
      <c r="J46" s="94">
        <f t="shared" si="60"/>
        <v>-4127.87</v>
      </c>
      <c r="K46" s="102">
        <f t="shared" ref="K46:O46" si="61">SUM(K47:K50)</f>
        <v>-2999.76</v>
      </c>
      <c r="L46" s="76">
        <f t="shared" si="61"/>
        <v>-2947.2000000000016</v>
      </c>
      <c r="M46" s="102">
        <f t="shared" ref="M46" si="62">SUM(M47:M50)</f>
        <v>-1899.76</v>
      </c>
      <c r="N46" s="76">
        <f>SUM(N47:N50)</f>
        <v>-899</v>
      </c>
      <c r="O46" s="102">
        <f t="shared" si="61"/>
        <v>-1899.76</v>
      </c>
      <c r="P46" s="76">
        <f t="shared" ref="P46:Q46" si="63">SUM(P47:P50)</f>
        <v>-899</v>
      </c>
      <c r="Q46" s="102">
        <f t="shared" si="63"/>
        <v>-1625</v>
      </c>
      <c r="R46" s="76">
        <f t="shared" ref="R46:S46" si="64">SUM(R47:R50)</f>
        <v>-899</v>
      </c>
      <c r="S46" s="102">
        <f t="shared" si="64"/>
        <v>-899</v>
      </c>
      <c r="T46" s="76">
        <f t="shared" ref="T46:U46" si="65">SUM(T47:T50)</f>
        <v>-899</v>
      </c>
      <c r="U46" s="102">
        <f t="shared" si="65"/>
        <v>-899</v>
      </c>
      <c r="V46" s="76">
        <f t="shared" ref="V46:W46" si="66">SUM(V47:V50)</f>
        <v>-2372.0500000000002</v>
      </c>
      <c r="W46" s="102">
        <f t="shared" si="66"/>
        <v>-899</v>
      </c>
      <c r="X46" s="76">
        <f t="shared" ref="X46" si="67">SUM(X47:X50)</f>
        <v>0</v>
      </c>
      <c r="Z46" s="131">
        <f>T46/S46</f>
        <v>1</v>
      </c>
      <c r="AA46" s="131">
        <f t="shared" si="43"/>
        <v>2.6385428253615131</v>
      </c>
      <c r="AB46" s="131"/>
    </row>
    <row r="47" spans="2:28" x14ac:dyDescent="0.25">
      <c r="B47" s="124" t="s">
        <v>230</v>
      </c>
      <c r="C47" s="82" t="s">
        <v>2</v>
      </c>
      <c r="D47" s="78">
        <f>'2015 -  2016'!J19</f>
        <v>4000</v>
      </c>
      <c r="E47" s="78">
        <f>'2015 -  2016'!Q19</f>
        <v>4315.25</v>
      </c>
      <c r="F47" s="100">
        <v>4233</v>
      </c>
      <c r="G47" s="114">
        <f>'2015 -  2016'!T19</f>
        <v>4233</v>
      </c>
      <c r="H47" s="133">
        <f>' výsledovky 17-22-24'!V98</f>
        <v>-2100</v>
      </c>
      <c r="I47" s="100">
        <v>-4600</v>
      </c>
      <c r="J47" s="133">
        <f>' výsledovky 17-22-24'!Y98</f>
        <v>0</v>
      </c>
      <c r="K47" s="148">
        <v>0</v>
      </c>
      <c r="L47" s="115">
        <f>' výsledovky 17-22-24'!AA98</f>
        <v>0</v>
      </c>
      <c r="M47" s="148">
        <v>0</v>
      </c>
      <c r="N47" s="115">
        <f>' výsledovky 17-22-24'!AC98</f>
        <v>0</v>
      </c>
      <c r="O47" s="148">
        <v>0</v>
      </c>
      <c r="P47" s="115">
        <f>' výsledovky 17-22-24'!AE98</f>
        <v>0</v>
      </c>
      <c r="Q47" s="148">
        <v>0</v>
      </c>
      <c r="R47" s="115">
        <f>' výsledovky 17-22-24'!AG98</f>
        <v>0</v>
      </c>
      <c r="S47" s="148">
        <v>0</v>
      </c>
      <c r="T47" s="115">
        <f>' výsledovky 17-22-24'!AI98</f>
        <v>0</v>
      </c>
      <c r="U47" s="148">
        <v>0</v>
      </c>
      <c r="V47" s="115">
        <f>' výsledovky 17-22-24'!AK98</f>
        <v>0</v>
      </c>
      <c r="W47" s="148">
        <v>0</v>
      </c>
      <c r="X47" s="115">
        <f>' výsledovky 17-22-24'!AM98</f>
        <v>0</v>
      </c>
      <c r="Z47" s="131"/>
      <c r="AB47" s="131"/>
    </row>
    <row r="48" spans="2:28" x14ac:dyDescent="0.25">
      <c r="B48" s="124" t="s">
        <v>230</v>
      </c>
      <c r="C48" s="82" t="s">
        <v>201</v>
      </c>
      <c r="D48" s="78">
        <f>'2015 -  2016'!J20</f>
        <v>0</v>
      </c>
      <c r="E48" s="78">
        <f>'2015 -  2016'!Q20</f>
        <v>1899.76</v>
      </c>
      <c r="F48" s="100">
        <v>1899.76</v>
      </c>
      <c r="G48" s="114">
        <f>'2015 -  2016'!T20</f>
        <v>1899.76</v>
      </c>
      <c r="H48" s="133">
        <f>' výsledovky 17-22-24'!V99</f>
        <v>-1424.82</v>
      </c>
      <c r="I48" s="100">
        <f>-G48</f>
        <v>-1899.76</v>
      </c>
      <c r="J48" s="133">
        <f>' výsledovky 17-22-24'!Y99</f>
        <v>0</v>
      </c>
      <c r="K48" s="148">
        <f>I48</f>
        <v>-1899.76</v>
      </c>
      <c r="L48" s="115">
        <f>' výsledovky 17-22-24'!AA99+' výsledovky 17-22-24'!AA120</f>
        <v>-1425.09</v>
      </c>
      <c r="M48" s="148">
        <f>I48</f>
        <v>-1899.76</v>
      </c>
      <c r="N48" s="115">
        <f>' výsledovky 17-22-24'!AC99+' výsledovky 17-22-24'!AC120</f>
        <v>-899</v>
      </c>
      <c r="O48" s="148">
        <f>K48</f>
        <v>-1899.76</v>
      </c>
      <c r="P48" s="115">
        <f>' výsledovky 17-22-24'!AE99+' výsledovky 17-22-24'!AE120</f>
        <v>-899</v>
      </c>
      <c r="Q48" s="148">
        <v>-1625</v>
      </c>
      <c r="R48" s="115">
        <f>' výsledovky 17-22-24'!AG99+' výsledovky 17-22-24'!AG120</f>
        <v>-899</v>
      </c>
      <c r="S48" s="148">
        <v>-899</v>
      </c>
      <c r="T48" s="115">
        <f>' výsledovky 17-22-24'!AI99+' výsledovky 17-22-24'!AI120</f>
        <v>-899</v>
      </c>
      <c r="U48" s="148">
        <v>-899</v>
      </c>
      <c r="V48" s="115">
        <f>' výsledovky 17-22-24'!AK99+' výsledovky 17-22-24'!AK120</f>
        <v>-899</v>
      </c>
      <c r="W48" s="148">
        <v>-899</v>
      </c>
      <c r="X48" s="115">
        <f>' výsledovky 17-22-24'!AM99+' výsledovky 17-22-24'!AM120</f>
        <v>0</v>
      </c>
      <c r="Z48" s="131">
        <f>T48/S48</f>
        <v>1</v>
      </c>
      <c r="AA48" s="131">
        <f t="shared" si="43"/>
        <v>1</v>
      </c>
      <c r="AB48" s="131"/>
    </row>
    <row r="49" spans="2:28" x14ac:dyDescent="0.25">
      <c r="B49" s="124" t="s">
        <v>230</v>
      </c>
      <c r="C49" s="82" t="s">
        <v>202</v>
      </c>
      <c r="D49" s="78">
        <f>'2015 -  2016'!J48</f>
        <v>0</v>
      </c>
      <c r="E49" s="78">
        <f>'2015 -  2016'!Q48</f>
        <v>259</v>
      </c>
      <c r="F49" s="100">
        <v>259</v>
      </c>
      <c r="G49" s="114">
        <f>'2015 -  2016'!T48</f>
        <v>1110</v>
      </c>
      <c r="H49" s="133">
        <f>' výsledovky 17-22-24'!V120</f>
        <v>-198.55</v>
      </c>
      <c r="I49" s="100">
        <f>-G49</f>
        <v>-1110</v>
      </c>
      <c r="J49" s="133">
        <f>' výsledovky 17-22-24'!Y120</f>
        <v>-1425.09</v>
      </c>
      <c r="K49" s="148">
        <f>-1100</f>
        <v>-1100</v>
      </c>
      <c r="L49" s="115"/>
      <c r="M49" s="148"/>
      <c r="N49" s="115"/>
      <c r="O49" s="148"/>
      <c r="P49" s="115"/>
      <c r="Q49" s="148"/>
      <c r="R49" s="115"/>
      <c r="S49" s="148"/>
      <c r="T49" s="115"/>
      <c r="U49" s="148"/>
      <c r="V49" s="115"/>
      <c r="W49" s="148"/>
      <c r="X49" s="115"/>
      <c r="Z49" s="131"/>
      <c r="AB49" s="131"/>
    </row>
    <row r="50" spans="2:28" x14ac:dyDescent="0.25">
      <c r="B50" s="124" t="s">
        <v>230</v>
      </c>
      <c r="C50" s="82" t="s">
        <v>214</v>
      </c>
      <c r="D50" s="78">
        <f>'2015 -  2016'!J69+'2015 -  2016'!G6</f>
        <v>20600</v>
      </c>
      <c r="E50" s="78">
        <f>'2015 -  2016'!Q69</f>
        <v>142.02000000000001</v>
      </c>
      <c r="F50" s="100">
        <f>35484.77-F47-F48-F49-F52-F53</f>
        <v>-372.19999999999959</v>
      </c>
      <c r="G50" s="114">
        <f>'2015 -  2016'!T16+'2015 -  2016'!T31</f>
        <v>1200</v>
      </c>
      <c r="H50" s="133">
        <f>SUM(' výsledovky 17-22-24'!V85:V145)-H47-H48-H49-H52-H53</f>
        <v>-183.88999999999851</v>
      </c>
      <c r="I50" s="100"/>
      <c r="J50" s="133">
        <f>SUM(' výsledovky 17-22-24'!Y85:Y145)-J47-J48-J49-J52-J53</f>
        <v>-2702.7799999999997</v>
      </c>
      <c r="K50" s="148"/>
      <c r="L50" s="115">
        <f>SUM(' výsledovky 17-22-24'!AA85:AA145)-L47-L48-L49-L52-L53</f>
        <v>-1522.1100000000015</v>
      </c>
      <c r="M50" s="148"/>
      <c r="N50" s="115"/>
      <c r="O50" s="148"/>
      <c r="P50" s="115"/>
      <c r="Q50" s="148"/>
      <c r="R50" s="115"/>
      <c r="S50" s="148"/>
      <c r="T50" s="115"/>
      <c r="U50" s="148">
        <v>0</v>
      </c>
      <c r="V50" s="115">
        <v>-1473.05</v>
      </c>
      <c r="W50" s="148">
        <v>0</v>
      </c>
      <c r="X50" s="115">
        <v>0</v>
      </c>
      <c r="Z50" s="131"/>
      <c r="AA50" s="131" t="e">
        <f t="shared" si="43"/>
        <v>#DIV/0!</v>
      </c>
    </row>
    <row r="51" spans="2:28" x14ac:dyDescent="0.25">
      <c r="B51" s="124" t="s">
        <v>230</v>
      </c>
      <c r="C51" s="74" t="s">
        <v>190</v>
      </c>
      <c r="D51" s="75">
        <f>-SUM(D52:D53)</f>
        <v>-35220</v>
      </c>
      <c r="E51" s="94">
        <f>-SUM(E52:E53)</f>
        <v>0</v>
      </c>
      <c r="F51" s="94">
        <f>-SUM(F52:F53)</f>
        <v>-29465.21</v>
      </c>
      <c r="G51" s="102">
        <f>-SUM(G52:G53)</f>
        <v>-5002.3999999999996</v>
      </c>
      <c r="H51" s="94">
        <f>SUM(H52:H53)</f>
        <v>-6201.68</v>
      </c>
      <c r="I51" s="99">
        <f t="shared" ref="I51:J51" si="68">SUM(I52:I53)</f>
        <v>-6503.1200000000008</v>
      </c>
      <c r="J51" s="94">
        <f t="shared" si="68"/>
        <v>-5678.89</v>
      </c>
      <c r="K51" s="102">
        <f t="shared" ref="K51:O51" si="69">SUM(K52:K53)</f>
        <v>-6503.1200000000008</v>
      </c>
      <c r="L51" s="76">
        <f t="shared" si="69"/>
        <v>-6139.95</v>
      </c>
      <c r="M51" s="102">
        <f t="shared" ref="M51" si="70">SUM(M52:M53)</f>
        <v>-6503.1200000000008</v>
      </c>
      <c r="N51" s="76">
        <f t="shared" ref="N51:Q51" si="71">SUM(N52:N53)</f>
        <v>-8552.8599999999988</v>
      </c>
      <c r="O51" s="102">
        <f t="shared" si="69"/>
        <v>-6503.1200000000008</v>
      </c>
      <c r="P51" s="76">
        <f t="shared" si="71"/>
        <v>-6931.4100000000008</v>
      </c>
      <c r="Q51" s="102">
        <f t="shared" si="71"/>
        <v>-7003.3600000000006</v>
      </c>
      <c r="R51" s="76">
        <f t="shared" ref="R51:S51" si="72">SUM(R52:R53)</f>
        <v>-7784.8899999999994</v>
      </c>
      <c r="S51" s="102">
        <f t="shared" si="72"/>
        <v>-8517.6</v>
      </c>
      <c r="T51" s="76">
        <f t="shared" ref="T51:U51" si="73">SUM(T52:T53)</f>
        <v>-8563.9900000000016</v>
      </c>
      <c r="U51" s="102">
        <f t="shared" si="73"/>
        <v>-8517.6</v>
      </c>
      <c r="V51" s="76">
        <f t="shared" ref="V51:W51" si="74">SUM(V52:V53)</f>
        <v>-8077.48</v>
      </c>
      <c r="W51" s="102">
        <f t="shared" si="74"/>
        <v>-9438.66</v>
      </c>
      <c r="X51" s="76">
        <f t="shared" ref="X51" si="75">SUM(X52:X53)</f>
        <v>0</v>
      </c>
      <c r="Z51" s="131">
        <f>T51/S51</f>
        <v>1.0054463698694469</v>
      </c>
      <c r="AA51" s="131">
        <f t="shared" ref="AA51:AA52" si="76">V51/U51</f>
        <v>0.94832816755893667</v>
      </c>
      <c r="AB51" s="131"/>
    </row>
    <row r="52" spans="2:28" x14ac:dyDescent="0.25">
      <c r="B52" s="124" t="s">
        <v>230</v>
      </c>
      <c r="C52" s="77" t="s">
        <v>40</v>
      </c>
      <c r="D52" s="78">
        <f>'2015 -  2016'!G49+'2015 -  2016'!G53</f>
        <v>34740</v>
      </c>
      <c r="E52" s="229"/>
      <c r="F52" s="226">
        <f>20351.05+7146.69+1651</f>
        <v>29148.739999999998</v>
      </c>
      <c r="G52" s="114">
        <f>'2015 -  2016'!T49+'2015 -  2016'!T53</f>
        <v>5002.3999999999996</v>
      </c>
      <c r="H52" s="133">
        <f>' výsledovky 17-22-24'!V121+' výsledovky 17-22-24'!V125+' výsledovky 17-22-24'!V126</f>
        <v>-6201.68</v>
      </c>
      <c r="I52" s="100">
        <f>-(13*370*1.352)</f>
        <v>-6503.1200000000008</v>
      </c>
      <c r="J52" s="133">
        <f>' výsledovky 17-22-24'!Y121+' výsledovky 17-22-24'!Y125+' výsledovky 17-22-24'!Y126</f>
        <v>-5678.89</v>
      </c>
      <c r="K52" s="148">
        <f>-(13*370*1.352)</f>
        <v>-6503.1200000000008</v>
      </c>
      <c r="L52" s="115">
        <f>' výsledovky 17-22-24'!AA121+' výsledovky 17-22-24'!AA122+' výsledovky 17-22-24'!AA123+' výsledovky 17-22-24'!AA124+' výsledovky 17-22-24'!AA125+' výsledovky 17-22-24'!AA126+' výsledovky 17-22-24'!AA129+' výsledovky 17-22-24'!AA130</f>
        <v>-6139.95</v>
      </c>
      <c r="M52" s="148">
        <f>-(13*370*1.352)</f>
        <v>-6503.1200000000008</v>
      </c>
      <c r="N52" s="115">
        <f>' výsledovky 17-22-24'!AC121+' výsledovky 17-22-24'!AC122+' výsledovky 17-22-24'!AC123+' výsledovky 17-22-24'!AC124+' výsledovky 17-22-24'!AC125+' výsledovky 17-22-24'!AC126+' výsledovky 17-22-24'!AC129+' výsledovky 17-22-24'!AC130</f>
        <v>-8552.8599999999988</v>
      </c>
      <c r="O52" s="148">
        <f>-(13*370*1.352)</f>
        <v>-6503.1200000000008</v>
      </c>
      <c r="P52" s="115">
        <f>' výsledovky 17-22-24'!AE121+' výsledovky 17-22-24'!AE122+' výsledovky 17-22-24'!AE123+' výsledovky 17-22-24'!AE124+' výsledovky 17-22-24'!AE125+' výsledovky 17-22-24'!AE126+' výsledovky 17-22-24'!AE129+' výsledovky 17-22-24'!AE130</f>
        <v>-6931.4100000000008</v>
      </c>
      <c r="Q52" s="148">
        <f>-(14*370*1.352)</f>
        <v>-7003.3600000000006</v>
      </c>
      <c r="R52" s="115">
        <f>' výsledovky 17-22-24'!AG121+' výsledovky 17-22-24'!AG122+' výsledovky 17-22-24'!AG123+' výsledovky 17-22-24'!AG124+' výsledovky 17-22-24'!AG125+' výsledovky 17-22-24'!AG126+' výsledovky 17-22-24'!AG129+' výsledovky 17-22-24'!AG130</f>
        <v>-7784.8899999999994</v>
      </c>
      <c r="S52" s="148">
        <f>-(14*450*1.352)</f>
        <v>-8517.6</v>
      </c>
      <c r="T52" s="115">
        <f>' výsledovky 17-22-24'!AI121+' výsledovky 17-22-24'!AI122+' výsledovky 17-22-24'!AI123+' výsledovky 17-22-24'!AI124+' výsledovky 17-22-24'!AI125+' výsledovky 17-22-24'!AI126+' výsledovky 17-22-24'!AI129+' výsledovky 17-22-24'!AI130</f>
        <v>-8563.9900000000016</v>
      </c>
      <c r="U52" s="148">
        <f>-(14*450*1.352)</f>
        <v>-8517.6</v>
      </c>
      <c r="V52" s="115">
        <f>' výsledovky 17-22-24'!AK121+' výsledovky 17-22-24'!AK122+' výsledovky 17-22-24'!AK123+' výsledovky 17-22-24'!AK124+' výsledovky 17-22-24'!AK125+' výsledovky 17-22-24'!AK126+' výsledovky 17-22-24'!AK129+' výsledovky 17-22-24'!AK130</f>
        <v>-8077.48</v>
      </c>
      <c r="W52" s="148">
        <f>-(14*495*1.362)</f>
        <v>-9438.66</v>
      </c>
      <c r="X52" s="115">
        <f>' výsledovky 17-22-24'!AM121+' výsledovky 17-22-24'!AM122+' výsledovky 17-22-24'!AM123+' výsledovky 17-22-24'!AM124+' výsledovky 17-22-24'!AM125+' výsledovky 17-22-24'!AM126+' výsledovky 17-22-24'!AM129+' výsledovky 17-22-24'!AM130</f>
        <v>0</v>
      </c>
      <c r="Z52" s="131">
        <f>T52/S52</f>
        <v>1.0054463698694469</v>
      </c>
      <c r="AA52" s="131">
        <f t="shared" si="76"/>
        <v>0.94832816755893667</v>
      </c>
      <c r="AB52" s="131"/>
    </row>
    <row r="53" spans="2:28" ht="15.75" thickBot="1" x14ac:dyDescent="0.3">
      <c r="B53" s="124" t="s">
        <v>230</v>
      </c>
      <c r="C53" s="121" t="s">
        <v>16</v>
      </c>
      <c r="D53" s="84">
        <f>'2015 -  2016'!G56</f>
        <v>480</v>
      </c>
      <c r="E53" s="230"/>
      <c r="F53" s="227">
        <v>316.47000000000003</v>
      </c>
      <c r="G53" s="116"/>
      <c r="H53" s="134"/>
      <c r="I53" s="132"/>
      <c r="J53" s="134"/>
      <c r="K53" s="151"/>
      <c r="L53" s="150">
        <f>' výsledovky 17-22-24'!AA127+' výsledovky 17-22-24'!AA128</f>
        <v>0</v>
      </c>
      <c r="M53" s="151"/>
      <c r="N53" s="150">
        <f>' výsledovky 17-22-24'!AA127+' výsledovky 17-22-24'!AA128</f>
        <v>0</v>
      </c>
      <c r="O53" s="151"/>
      <c r="P53" s="150">
        <f>' výsledovky 17-22-24'!AC127+' výsledovky 17-22-24'!AC128</f>
        <v>0</v>
      </c>
      <c r="Q53" s="151"/>
      <c r="R53" s="150">
        <f>' výsledovky 17-22-24'!AE127+' výsledovky 17-22-24'!AE128</f>
        <v>0</v>
      </c>
      <c r="S53" s="151"/>
      <c r="T53" s="150">
        <f>' výsledovky 17-22-24'!AG127+' výsledovky 17-22-24'!AG128</f>
        <v>0</v>
      </c>
      <c r="U53" s="151"/>
      <c r="V53" s="150">
        <f>' výsledovky 17-22-24'!AI127+' výsledovky 17-22-24'!AI128</f>
        <v>0</v>
      </c>
      <c r="W53" s="151"/>
      <c r="X53" s="150">
        <f>' výsledovky 17-22-24'!AK127+' výsledovky 17-22-24'!AK128</f>
        <v>0</v>
      </c>
      <c r="Z53" s="131"/>
      <c r="AB53" s="131"/>
    </row>
    <row r="54" spans="2:28" ht="40.15" customHeight="1" thickTop="1" thickBot="1" x14ac:dyDescent="0.55000000000000004">
      <c r="C54" s="117" t="s">
        <v>223</v>
      </c>
      <c r="Z54" s="131"/>
      <c r="AB54" s="131"/>
    </row>
    <row r="55" spans="2:28" ht="16.5" thickTop="1" thickBot="1" x14ac:dyDescent="0.3">
      <c r="B55" s="124" t="s">
        <v>177</v>
      </c>
      <c r="C55" s="65" t="s">
        <v>203</v>
      </c>
      <c r="D55" s="66" t="s">
        <v>186</v>
      </c>
      <c r="E55" s="66" t="s">
        <v>186</v>
      </c>
      <c r="F55" s="66" t="s">
        <v>309</v>
      </c>
      <c r="G55" s="66" t="s">
        <v>185</v>
      </c>
      <c r="H55" s="66" t="s">
        <v>186</v>
      </c>
      <c r="I55" s="66" t="s">
        <v>185</v>
      </c>
      <c r="J55" s="67" t="s">
        <v>186</v>
      </c>
      <c r="K55" s="66" t="s">
        <v>185</v>
      </c>
      <c r="L55" s="67" t="s">
        <v>186</v>
      </c>
      <c r="M55" s="66" t="s">
        <v>185</v>
      </c>
      <c r="N55" s="67" t="s">
        <v>186</v>
      </c>
      <c r="O55" s="66" t="s">
        <v>185</v>
      </c>
      <c r="P55" s="67" t="s">
        <v>186</v>
      </c>
      <c r="Q55" s="66" t="s">
        <v>185</v>
      </c>
      <c r="R55" s="67" t="s">
        <v>186</v>
      </c>
      <c r="S55" s="66" t="s">
        <v>185</v>
      </c>
      <c r="T55" s="236" t="s">
        <v>186</v>
      </c>
      <c r="U55" s="66" t="s">
        <v>185</v>
      </c>
      <c r="V55" s="236" t="s">
        <v>186</v>
      </c>
      <c r="W55" s="66" t="s">
        <v>185</v>
      </c>
      <c r="X55" s="236" t="s">
        <v>186</v>
      </c>
      <c r="Z55" s="131"/>
      <c r="AB55" s="131"/>
    </row>
    <row r="56" spans="2:28" ht="16.5" thickTop="1" thickBot="1" x14ac:dyDescent="0.3">
      <c r="B56" s="124" t="s">
        <v>177</v>
      </c>
      <c r="C56" s="68" t="s">
        <v>204</v>
      </c>
      <c r="D56" s="69">
        <f>SUM(D58+D63+D70)</f>
        <v>428206</v>
      </c>
      <c r="E56" s="69">
        <f>SUM(E58+E63+E70)</f>
        <v>304189.15000000002</v>
      </c>
      <c r="F56" s="69">
        <f>SUM(F58+F63+F70)</f>
        <v>304209.44</v>
      </c>
      <c r="G56" s="69">
        <f>SUM(G58+G63+G70)</f>
        <v>189311.76</v>
      </c>
      <c r="H56" s="69">
        <f>SUM(H58+H63+H70)</f>
        <v>249170.90999999997</v>
      </c>
      <c r="I56" s="69">
        <f t="shared" ref="I56:O56" si="77">SUM(I58+I63+I70)</f>
        <v>177288</v>
      </c>
      <c r="J56" s="69">
        <f t="shared" si="77"/>
        <v>300371.15000000002</v>
      </c>
      <c r="K56" s="69">
        <f t="shared" si="77"/>
        <v>209538</v>
      </c>
      <c r="L56" s="69">
        <f t="shared" si="77"/>
        <v>299543.36000000004</v>
      </c>
      <c r="M56" s="69">
        <f t="shared" ref="M56" si="78">SUM(M58+M63+M70)</f>
        <v>139820</v>
      </c>
      <c r="N56" s="69">
        <f t="shared" ref="N56:Q56" si="79">SUM(N58+N63+N70)</f>
        <v>163817.34</v>
      </c>
      <c r="O56" s="69">
        <f t="shared" si="77"/>
        <v>195000</v>
      </c>
      <c r="P56" s="69">
        <f t="shared" si="79"/>
        <v>250997.94</v>
      </c>
      <c r="Q56" s="69">
        <f t="shared" si="79"/>
        <v>209625</v>
      </c>
      <c r="R56" s="69">
        <f t="shared" ref="R56:S56" si="80">SUM(R58+R63+R70)</f>
        <v>258165.27</v>
      </c>
      <c r="S56" s="69">
        <f t="shared" si="80"/>
        <v>243527.3</v>
      </c>
      <c r="T56" s="69">
        <f t="shared" ref="T56:U56" si="81">SUM(T58+T63+T70)</f>
        <v>304845.45</v>
      </c>
      <c r="U56" s="69">
        <f t="shared" si="81"/>
        <v>272625</v>
      </c>
      <c r="V56" s="69">
        <f t="shared" ref="V56:W56" si="82">SUM(V58+V63+V70)</f>
        <v>315697.5</v>
      </c>
      <c r="W56" s="69">
        <f t="shared" si="82"/>
        <v>264805</v>
      </c>
      <c r="X56" s="69">
        <f t="shared" ref="X56" si="83">SUM(X58+X63+X70)</f>
        <v>0</v>
      </c>
      <c r="Z56" s="131">
        <f>T56/S56</f>
        <v>1.2517916882419344</v>
      </c>
      <c r="AA56" s="131">
        <f t="shared" ref="AA56" si="84">V56/U56</f>
        <v>1.1579917469050893</v>
      </c>
      <c r="AB56" s="131"/>
    </row>
    <row r="57" spans="2:28" ht="16.5" thickTop="1" thickBot="1" x14ac:dyDescent="0.3">
      <c r="C57" s="70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235"/>
      <c r="U57" s="71"/>
      <c r="V57" s="235"/>
      <c r="W57" s="71"/>
      <c r="X57" s="235"/>
      <c r="Z57" s="131"/>
      <c r="AB57" s="131"/>
    </row>
    <row r="58" spans="2:28" ht="15.75" thickTop="1" x14ac:dyDescent="0.25">
      <c r="B58" s="124" t="s">
        <v>231</v>
      </c>
      <c r="C58" s="72" t="s">
        <v>188</v>
      </c>
      <c r="D58" s="73">
        <f t="shared" ref="D58:I58" si="85">SUM(D59:D61)</f>
        <v>87130</v>
      </c>
      <c r="E58" s="93">
        <f t="shared" si="85"/>
        <v>0</v>
      </c>
      <c r="F58" s="93">
        <f t="shared" si="85"/>
        <v>20.29</v>
      </c>
      <c r="G58" s="104">
        <f t="shared" si="85"/>
        <v>0</v>
      </c>
      <c r="H58" s="105">
        <f t="shared" si="85"/>
        <v>3919.3</v>
      </c>
      <c r="I58" s="98">
        <f t="shared" si="85"/>
        <v>2000</v>
      </c>
      <c r="J58" s="105">
        <f>SUM(J59:J61)</f>
        <v>4124.84</v>
      </c>
      <c r="K58" s="104">
        <f t="shared" ref="K58" si="86">SUM(K59:K61)</f>
        <v>2000</v>
      </c>
      <c r="L58" s="89">
        <f>SUM(L59:L61)</f>
        <v>4000.01</v>
      </c>
      <c r="M58" s="104">
        <f t="shared" ref="M58:O58" si="87">SUM(M59:M61)</f>
        <v>2000</v>
      </c>
      <c r="N58" s="89">
        <f>SUM(N59:N61)</f>
        <v>4179.41</v>
      </c>
      <c r="O58" s="104">
        <f t="shared" si="87"/>
        <v>15000</v>
      </c>
      <c r="P58" s="89">
        <f>SUM(P59:P61)</f>
        <v>22202.66</v>
      </c>
      <c r="Q58" s="104">
        <f t="shared" ref="Q58:S58" si="88">SUM(Q59:Q61)</f>
        <v>10000</v>
      </c>
      <c r="R58" s="89">
        <f>SUM(R59:R61)</f>
        <v>14803.69</v>
      </c>
      <c r="S58" s="104">
        <f t="shared" si="88"/>
        <v>10833</v>
      </c>
      <c r="T58" s="89">
        <f>SUM(T59:T61)</f>
        <v>17648.98</v>
      </c>
      <c r="U58" s="104">
        <f t="shared" ref="U58:W58" si="89">SUM(U59:U61)</f>
        <v>14250</v>
      </c>
      <c r="V58" s="89">
        <f>SUM(V59:V61)</f>
        <v>15106.41</v>
      </c>
      <c r="W58" s="104">
        <f t="shared" si="89"/>
        <v>11250</v>
      </c>
      <c r="X58" s="89">
        <f>SUM(X59:X61)</f>
        <v>0</v>
      </c>
      <c r="Z58" s="131">
        <f>T58/S58</f>
        <v>1.6291867442075141</v>
      </c>
      <c r="AA58" s="131">
        <f t="shared" ref="AA58:AA59" si="90">V58/U58</f>
        <v>1.060098947368421</v>
      </c>
      <c r="AB58" s="131"/>
    </row>
    <row r="59" spans="2:28" x14ac:dyDescent="0.25">
      <c r="B59" s="124" t="s">
        <v>231</v>
      </c>
      <c r="C59" s="82" t="s">
        <v>210</v>
      </c>
      <c r="D59" s="78"/>
      <c r="E59" s="229"/>
      <c r="F59" s="226"/>
      <c r="G59" s="114"/>
      <c r="H59" s="133">
        <f>' výsledovky 17-22-24'!V76</f>
        <v>3500</v>
      </c>
      <c r="I59" s="100">
        <v>2000</v>
      </c>
      <c r="J59" s="133">
        <f>' výsledovky 17-22-24'!Y76</f>
        <v>2500</v>
      </c>
      <c r="K59" s="148">
        <v>2000</v>
      </c>
      <c r="L59" s="115">
        <f>' výsledovky 17-22-24'!AA76</f>
        <v>4000</v>
      </c>
      <c r="M59" s="148">
        <v>2000</v>
      </c>
      <c r="N59" s="115">
        <f>' výsledovky 17-22-24'!AC76</f>
        <v>0</v>
      </c>
      <c r="O59" s="216">
        <f>2000+13000</f>
        <v>15000</v>
      </c>
      <c r="P59" s="115">
        <f>' výsledovky 17-22-24'!AE76</f>
        <v>10833.33</v>
      </c>
      <c r="Q59" s="216">
        <v>10000</v>
      </c>
      <c r="R59" s="115">
        <f>' výsledovky 17-22-24'!AG76</f>
        <v>10833.33</v>
      </c>
      <c r="S59" s="216">
        <v>10833</v>
      </c>
      <c r="T59" s="115">
        <f>' výsledovky 17-22-24'!AI76</f>
        <v>14333.33</v>
      </c>
      <c r="U59" s="216">
        <v>11250</v>
      </c>
      <c r="V59" s="115">
        <f>' výsledovky 17-22-24'!AK76</f>
        <v>12250</v>
      </c>
      <c r="W59" s="216">
        <v>11250</v>
      </c>
      <c r="X59" s="115">
        <f>' výsledovky 17-22-24'!AM76</f>
        <v>0</v>
      </c>
      <c r="Z59" s="131">
        <f>T59/S59</f>
        <v>1.3231173266869749</v>
      </c>
      <c r="AA59" s="131">
        <f t="shared" si="90"/>
        <v>1.0888888888888888</v>
      </c>
      <c r="AB59" s="131"/>
    </row>
    <row r="60" spans="2:28" x14ac:dyDescent="0.25">
      <c r="B60" s="124" t="s">
        <v>231</v>
      </c>
      <c r="C60" s="82" t="s">
        <v>211</v>
      </c>
      <c r="D60" s="78"/>
      <c r="E60" s="229"/>
      <c r="F60" s="228"/>
      <c r="G60" s="122"/>
      <c r="H60" s="135">
        <f>' výsledovky 17-22-24'!V78</f>
        <v>393</v>
      </c>
      <c r="I60" s="100"/>
      <c r="J60" s="135">
        <f>' výsledovky 17-22-24'!Y78</f>
        <v>0</v>
      </c>
      <c r="K60" s="148"/>
      <c r="L60" s="152">
        <f>' výsledovky 17-22-24'!AA78</f>
        <v>0</v>
      </c>
      <c r="M60" s="148"/>
      <c r="N60" s="152">
        <f>' výsledovky 17-22-24'!AA78</f>
        <v>0</v>
      </c>
      <c r="O60" s="148"/>
      <c r="P60" s="152">
        <f>' výsledovky 17-22-24'!AC78</f>
        <v>0</v>
      </c>
      <c r="Q60" s="148"/>
      <c r="R60" s="152">
        <f>' výsledovky 17-22-24'!AE78</f>
        <v>0</v>
      </c>
      <c r="S60" s="148"/>
      <c r="T60" s="152">
        <f>' výsledovky 17-22-24'!AG78</f>
        <v>0</v>
      </c>
      <c r="U60" s="148"/>
      <c r="V60" s="152">
        <f>' výsledovky 17-22-24'!AI78</f>
        <v>0</v>
      </c>
      <c r="W60" s="148"/>
      <c r="X60" s="152">
        <f>' výsledovky 17-22-24'!AK78</f>
        <v>0</v>
      </c>
      <c r="Z60" s="131"/>
      <c r="AB60" s="131"/>
    </row>
    <row r="61" spans="2:28" ht="15.75" thickBot="1" x14ac:dyDescent="0.3">
      <c r="B61" s="124" t="s">
        <v>231</v>
      </c>
      <c r="C61" s="121" t="s">
        <v>225</v>
      </c>
      <c r="D61" s="78">
        <f>'2015 -  2016'!F88+'2015 -  2016'!G88</f>
        <v>87130</v>
      </c>
      <c r="E61" s="230"/>
      <c r="F61" s="228">
        <v>20.29</v>
      </c>
      <c r="G61" s="116"/>
      <c r="H61" s="134">
        <f>SUM(' výsledovky 17-22-24'!V65:V83)-H59-H60</f>
        <v>26.300000000000182</v>
      </c>
      <c r="I61" s="100"/>
      <c r="J61" s="134">
        <f>' výsledovky 17-22-24'!Y68</f>
        <v>1624.84</v>
      </c>
      <c r="K61" s="148"/>
      <c r="L61" s="150">
        <f>SUM(' výsledovky 17-22-24'!AA65:AA83)-L59-L60</f>
        <v>1.0000000000218279E-2</v>
      </c>
      <c r="M61" s="148"/>
      <c r="N61" s="150">
        <f>SUM(' výsledovky 17-22-24'!AC65:AC83)-P59-P60</f>
        <v>4179.41</v>
      </c>
      <c r="O61" s="148"/>
      <c r="P61" s="150">
        <f>SUM(' výsledovky 17-22-24'!AE65:AE83)-P59-P60</f>
        <v>11369.33</v>
      </c>
      <c r="Q61" s="148"/>
      <c r="R61" s="150">
        <f>SUM(' výsledovky 17-22-24'!AG65:AG83)-R59-R60</f>
        <v>3970.3600000000006</v>
      </c>
      <c r="S61" s="148"/>
      <c r="T61" s="150">
        <f>SUM(' výsledovky 17-22-24'!AI65:AI84)-T59-T60</f>
        <v>3315.6499999999996</v>
      </c>
      <c r="U61" s="148">
        <v>3000</v>
      </c>
      <c r="V61" s="150">
        <f>SUM(' výsledovky 17-22-24'!AK65:AK84)-V59-V60</f>
        <v>2856.41</v>
      </c>
      <c r="W61" s="148">
        <v>0</v>
      </c>
      <c r="X61" s="150">
        <f>SUM(' výsledovky 17-22-24'!AM65:AM84)-X59-X60</f>
        <v>0</v>
      </c>
      <c r="Z61" s="131"/>
      <c r="AA61" s="131">
        <f t="shared" ref="AA61" si="91">V61/U61</f>
        <v>0.95213666666666663</v>
      </c>
      <c r="AB61" s="131"/>
    </row>
    <row r="62" spans="2:28" ht="16.5" thickTop="1" thickBot="1" x14ac:dyDescent="0.3">
      <c r="C62" s="80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154"/>
      <c r="U62" s="81"/>
      <c r="V62" s="154"/>
      <c r="W62" s="81"/>
      <c r="X62" s="154"/>
      <c r="Z62" s="131"/>
      <c r="AB62" s="131"/>
    </row>
    <row r="63" spans="2:28" ht="15.75" thickTop="1" x14ac:dyDescent="0.25">
      <c r="B63" s="124" t="s">
        <v>232</v>
      </c>
      <c r="C63" s="72" t="s">
        <v>191</v>
      </c>
      <c r="D63" s="73">
        <f>SUM(D64:D68)</f>
        <v>271833</v>
      </c>
      <c r="E63" s="93">
        <f>SUM(E64:E68)</f>
        <v>251508.19</v>
      </c>
      <c r="F63" s="93">
        <f>SUM(F64:F68)</f>
        <v>251508.18999999997</v>
      </c>
      <c r="G63" s="104">
        <f>SUM(G64:G68)</f>
        <v>156200</v>
      </c>
      <c r="H63" s="105">
        <f>SUM(H64:H68)</f>
        <v>211791.57</v>
      </c>
      <c r="I63" s="98">
        <f t="shared" ref="I63:O63" si="92">SUM(I64:I68)</f>
        <v>150000</v>
      </c>
      <c r="J63" s="105">
        <f t="shared" si="92"/>
        <v>266864.12</v>
      </c>
      <c r="K63" s="101">
        <f t="shared" si="92"/>
        <v>182250</v>
      </c>
      <c r="L63" s="89">
        <f t="shared" si="92"/>
        <v>265817.84000000003</v>
      </c>
      <c r="M63" s="101">
        <f t="shared" ref="M63" si="93">SUM(M64:M68)</f>
        <v>135920</v>
      </c>
      <c r="N63" s="89">
        <f t="shared" ref="N63:Q63" si="94">SUM(N64:N68)</f>
        <v>157988.09</v>
      </c>
      <c r="O63" s="101">
        <f t="shared" si="92"/>
        <v>178100</v>
      </c>
      <c r="P63" s="89">
        <f t="shared" si="94"/>
        <v>227170.44</v>
      </c>
      <c r="Q63" s="101">
        <f t="shared" si="94"/>
        <v>198000</v>
      </c>
      <c r="R63" s="89">
        <f t="shared" ref="R63:S63" si="95">SUM(R64:R68)</f>
        <v>241736.74</v>
      </c>
      <c r="S63" s="101">
        <f t="shared" si="95"/>
        <v>231069.3</v>
      </c>
      <c r="T63" s="89">
        <f t="shared" ref="T63:U63" si="96">SUM(T64:T68)</f>
        <v>285571.63</v>
      </c>
      <c r="U63" s="101">
        <f t="shared" si="96"/>
        <v>256750</v>
      </c>
      <c r="V63" s="89">
        <f t="shared" ref="V63:W63" si="97">SUM(V64:V68)</f>
        <v>298966.25</v>
      </c>
      <c r="W63" s="101">
        <f t="shared" si="97"/>
        <v>251930</v>
      </c>
      <c r="X63" s="89">
        <f t="shared" ref="X63" si="98">SUM(X64:X68)</f>
        <v>0</v>
      </c>
      <c r="Z63" s="131">
        <f>T63/S63</f>
        <v>1.2358700614923748</v>
      </c>
      <c r="AA63" s="131">
        <f t="shared" ref="AA63:AA70" si="99">V63/U63</f>
        <v>1.1644255111976631</v>
      </c>
      <c r="AB63" s="131"/>
    </row>
    <row r="64" spans="2:28" x14ac:dyDescent="0.25">
      <c r="B64" s="124" t="s">
        <v>232</v>
      </c>
      <c r="C64" s="82" t="s">
        <v>115</v>
      </c>
      <c r="D64" s="78">
        <f>'2015 -  2016'!H78+'2015 -  2016'!H79+'2015 -  2016'!H80+'2015 -  2016'!H81+'2015 -  2016'!H82+'2015 -  2016'!H84</f>
        <v>271833</v>
      </c>
      <c r="E64" s="78">
        <f>'2015 -  2016'!O76+'2015 -  2016'!O78+'2015 -  2016'!O79+'2015 -  2016'!O81+'2015 -  2016'!O82+'2015 -  2016'!O84</f>
        <v>251508.19</v>
      </c>
      <c r="F64" s="100">
        <f>134939.58+29762.77+45791.78+962.5+21033.61-4862.64</f>
        <v>227627.59999999998</v>
      </c>
      <c r="G64" s="114">
        <f>'2015 -  2016'!U84+'2015 -  2016'!U83+'2015 -  2016'!U82+'2015 -  2016'!U81+'2015 -  2016'!U79</f>
        <v>153200</v>
      </c>
      <c r="H64" s="133">
        <f>' výsledovky 17-22-24'!V231</f>
        <v>211166.9</v>
      </c>
      <c r="I64" s="100">
        <v>150000</v>
      </c>
      <c r="J64" s="133">
        <f>' výsledovky 17-22-24'!Y231+' výsledovky 17-22-24'!Y235</f>
        <v>253248.91999999998</v>
      </c>
      <c r="K64" s="148">
        <f>'FP vzdelávanie'!E10</f>
        <v>170250</v>
      </c>
      <c r="L64" s="133">
        <f>' výsledovky 17-22-24'!AA231+' výsledovky 17-22-24'!AA235</f>
        <v>242710.76</v>
      </c>
      <c r="M64" s="148">
        <v>125120</v>
      </c>
      <c r="N64" s="115">
        <f>' výsledovky 17-22-24'!AC231+' výsledovky 17-22-24'!AC235</f>
        <v>145714.09</v>
      </c>
      <c r="O64" s="148">
        <f>'FP vzdelávanie'!E40</f>
        <v>163500</v>
      </c>
      <c r="P64" s="115">
        <f>' výsledovky 17-22-24'!AE231+' výsledovky 17-22-24'!AE235</f>
        <v>215145.04</v>
      </c>
      <c r="Q64" s="148">
        <f>'FP vzdelávanie'!E56</f>
        <v>187900</v>
      </c>
      <c r="R64" s="115">
        <f>' výsledovky 17-22-24'!AG231+' výsledovky 17-22-24'!AG235</f>
        <v>234064.47</v>
      </c>
      <c r="S64" s="182">
        <f>'FP vzdelávanie'!E72</f>
        <v>228150</v>
      </c>
      <c r="T64" s="115">
        <f>' výsledovky 17-22-24'!AI231+' výsledovky 17-22-24'!AI235</f>
        <v>277728.43</v>
      </c>
      <c r="U64" s="182">
        <f>'FP vzdelávanie'!E88</f>
        <v>248550</v>
      </c>
      <c r="V64" s="115">
        <f>' výsledovky 17-22-24'!AK231+' výsledovky 17-22-24'!AK235</f>
        <v>288521.90999999997</v>
      </c>
      <c r="W64" s="182">
        <f>'FP vzdelávanie'!E103</f>
        <v>243000</v>
      </c>
      <c r="X64" s="115">
        <f>' výsledovky 17-22-24'!AM231+' výsledovky 17-22-24'!AM235</f>
        <v>0</v>
      </c>
      <c r="Z64" s="131">
        <f>T64/S64</f>
        <v>1.2173062897216742</v>
      </c>
      <c r="AA64" s="131">
        <f t="shared" si="99"/>
        <v>1.160820398310199</v>
      </c>
      <c r="AB64" s="131"/>
    </row>
    <row r="65" spans="2:28" x14ac:dyDescent="0.25">
      <c r="B65" s="124" t="s">
        <v>232</v>
      </c>
      <c r="C65" s="82" t="s">
        <v>227</v>
      </c>
      <c r="D65" s="78"/>
      <c r="E65" s="229"/>
      <c r="F65" s="226"/>
      <c r="G65" s="114"/>
      <c r="H65" s="133">
        <f>' výsledovky 17-22-24'!V232</f>
        <v>624.75</v>
      </c>
      <c r="I65" s="100"/>
      <c r="J65" s="133">
        <f>' výsledovky 17-22-24'!Y232</f>
        <v>183.75</v>
      </c>
      <c r="K65" s="148"/>
      <c r="L65" s="115">
        <f>' výsledovky 17-22-24'!AA232</f>
        <v>0</v>
      </c>
      <c r="M65" s="148">
        <v>0</v>
      </c>
      <c r="N65" s="115">
        <f>' výsledovky 17-22-24'!AC232</f>
        <v>0</v>
      </c>
      <c r="O65" s="148">
        <v>0</v>
      </c>
      <c r="P65" s="115">
        <f>' výsledovky 17-22-24'!AE232</f>
        <v>0</v>
      </c>
      <c r="Q65" s="148">
        <v>0</v>
      </c>
      <c r="R65" s="115">
        <f>' výsledovky 17-22-24'!AG232</f>
        <v>0</v>
      </c>
      <c r="S65" s="148">
        <v>0</v>
      </c>
      <c r="T65" s="115">
        <f>' výsledovky 17-22-24'!AI232</f>
        <v>2021.7</v>
      </c>
      <c r="U65" s="148">
        <v>2000</v>
      </c>
      <c r="V65" s="115">
        <f>' výsledovky 17-22-24'!AK232</f>
        <v>2075</v>
      </c>
      <c r="W65" s="148">
        <v>2000</v>
      </c>
      <c r="X65" s="115">
        <f>' výsledovky 17-22-24'!AM232</f>
        <v>0</v>
      </c>
      <c r="Z65" s="131"/>
      <c r="AA65" s="131">
        <f t="shared" si="99"/>
        <v>1.0375000000000001</v>
      </c>
      <c r="AB65" s="131"/>
    </row>
    <row r="66" spans="2:28" x14ac:dyDescent="0.25">
      <c r="C66" s="82" t="s">
        <v>274</v>
      </c>
      <c r="D66" s="78"/>
      <c r="E66" s="229"/>
      <c r="F66" s="226"/>
      <c r="G66" s="114"/>
      <c r="H66" s="133"/>
      <c r="I66" s="100"/>
      <c r="J66" s="133">
        <f>' výsledovky 17-22-24'!Y236</f>
        <v>10431.56</v>
      </c>
      <c r="K66" s="148">
        <v>12000</v>
      </c>
      <c r="L66" s="133">
        <f>' výsledovky 17-22-24'!AA236</f>
        <v>22648.89</v>
      </c>
      <c r="M66" s="148">
        <v>10800</v>
      </c>
      <c r="N66" s="115">
        <f>' výsledovky 17-22-24'!AC236</f>
        <v>12273.92</v>
      </c>
      <c r="O66" s="148">
        <f>'FP vzdelávanie'!E45</f>
        <v>14600</v>
      </c>
      <c r="P66" s="115">
        <f>' výsledovky 17-22-24'!AE236</f>
        <v>10263.4</v>
      </c>
      <c r="Q66" s="148">
        <f>'FP vzdelávanie'!E62</f>
        <v>9800</v>
      </c>
      <c r="R66" s="115">
        <f>' výsledovky 17-22-24'!AG236</f>
        <v>6021.27</v>
      </c>
      <c r="S66" s="148">
        <f>'FP vzdelávanie'!H78</f>
        <v>2919.3</v>
      </c>
      <c r="T66" s="115">
        <f>' výsledovky 17-22-24'!AI236</f>
        <v>5604.07</v>
      </c>
      <c r="U66" s="148">
        <f>'FP vzdelávanie'!H94</f>
        <v>6200</v>
      </c>
      <c r="V66" s="115">
        <f>' výsledovky 17-22-24'!AK236</f>
        <v>8369.34</v>
      </c>
      <c r="W66" s="148">
        <f>'FP vzdelávanie'!H109</f>
        <v>6930</v>
      </c>
      <c r="X66" s="115">
        <f>' výsledovky 17-22-24'!AM236</f>
        <v>0</v>
      </c>
      <c r="Z66" s="131">
        <f>T66/S66</f>
        <v>1.9196622477991296</v>
      </c>
      <c r="AA66" s="131">
        <f t="shared" si="99"/>
        <v>1.3498935483870969</v>
      </c>
      <c r="AB66" s="131"/>
    </row>
    <row r="67" spans="2:28" x14ac:dyDescent="0.25">
      <c r="B67" s="124" t="s">
        <v>232</v>
      </c>
      <c r="C67" s="82" t="s">
        <v>226</v>
      </c>
      <c r="D67" s="78"/>
      <c r="E67" s="229"/>
      <c r="F67" s="226">
        <f>24748.64-868.05</f>
        <v>23880.59</v>
      </c>
      <c r="G67" s="114">
        <f>'2015 -  2016'!U75</f>
        <v>3000</v>
      </c>
      <c r="H67" s="133"/>
      <c r="I67" s="100"/>
      <c r="J67" s="133"/>
      <c r="K67" s="148"/>
      <c r="L67" s="115"/>
      <c r="M67" s="148">
        <v>0</v>
      </c>
      <c r="N67" s="115"/>
      <c r="O67" s="148">
        <v>0</v>
      </c>
      <c r="P67" s="115"/>
      <c r="Q67" s="148">
        <v>0</v>
      </c>
      <c r="R67" s="115"/>
      <c r="S67" s="148">
        <v>0</v>
      </c>
      <c r="T67" s="115"/>
      <c r="U67" s="148">
        <v>0</v>
      </c>
      <c r="V67" s="115"/>
      <c r="W67" s="148">
        <v>0</v>
      </c>
      <c r="X67" s="115"/>
      <c r="Z67" s="131"/>
      <c r="AA67" s="131"/>
      <c r="AB67" s="131"/>
    </row>
    <row r="68" spans="2:28" ht="15.75" thickBot="1" x14ac:dyDescent="0.3">
      <c r="B68" s="124" t="s">
        <v>232</v>
      </c>
      <c r="C68" s="121" t="s">
        <v>225</v>
      </c>
      <c r="D68" s="84"/>
      <c r="E68" s="230"/>
      <c r="F68" s="227"/>
      <c r="G68" s="116"/>
      <c r="H68" s="134">
        <f>SUM(' výsledovky 17-22-24'!V227:V246)-'Finančný plán'!H64-'Finančný plán'!H65-'Finančný plán'!H67</f>
        <v>-7.9999999987194315E-2</v>
      </c>
      <c r="I68" s="103"/>
      <c r="J68" s="134">
        <f>' výsledovky 17-22-24'!Y239+' výsledovky 17-22-24'!Y240</f>
        <v>2999.89</v>
      </c>
      <c r="K68" s="153"/>
      <c r="L68" s="150">
        <f>SUM(' výsledovky 17-22-24'!AA227:AA246)-'Finančný plán'!L64-'Finančný plán'!L65-'Finančný plán'!L67-L66</f>
        <v>458.19000000001688</v>
      </c>
      <c r="M68" s="153"/>
      <c r="N68" s="150">
        <f>' výsledovky 17-22-24'!AC239+' výsledovky 17-22-24'!AC240+' výsledovky 17-22-24'!AC241+' výsledovky 17-22-24'!AC243+' výsledovky 17-22-24'!AC244+' výsledovky 17-22-24'!AC246</f>
        <v>0.08</v>
      </c>
      <c r="O68" s="153"/>
      <c r="P68" s="150">
        <f>SUM(' výsledovky 17-22-24'!AE227:AE246)-'Finančný plán'!P64-'Finančný plán'!P65-'Finančný plán'!P66-'Finančný plán'!P67</f>
        <v>1761.9999999999945</v>
      </c>
      <c r="Q68" s="153">
        <v>300</v>
      </c>
      <c r="R68" s="150">
        <f>SUM(' výsledovky 17-22-24'!AG227:AG246)-'Finančný plán'!R64-'Finančný plán'!R65-'Finančný plán'!R66-'Finančný plán'!R67</f>
        <v>1650.9999999999891</v>
      </c>
      <c r="S68" s="153">
        <v>0</v>
      </c>
      <c r="T68" s="150">
        <f>SUM(' výsledovky 17-22-24'!AI227:AI247)-'Finančný plán'!T64-'Finančný plán'!T65-'Finančný plán'!T66-'Finančný plán'!T67</f>
        <v>217.43000000001211</v>
      </c>
      <c r="U68" s="153">
        <v>0</v>
      </c>
      <c r="V68" s="150">
        <f>SUM(' výsledovky 17-22-24'!AK227:AK247)-'Finančný plán'!V64-'Finančný plán'!V65-'Finančný plán'!V66-'Finančný plán'!V67</f>
        <v>2.5465851649641991E-11</v>
      </c>
      <c r="W68" s="153">
        <v>0</v>
      </c>
      <c r="X68" s="150">
        <f>SUM(' výsledovky 17-22-24'!AM227:AM247)-'Finančný plán'!X64-'Finančný plán'!X65-'Finančný plán'!X66-'Finančný plán'!X67</f>
        <v>0</v>
      </c>
      <c r="Z68" s="131"/>
      <c r="AA68" s="131"/>
      <c r="AB68" s="131"/>
    </row>
    <row r="69" spans="2:28" ht="16.5" thickTop="1" thickBot="1" x14ac:dyDescent="0.3">
      <c r="C69" s="85"/>
      <c r="D69" s="86"/>
      <c r="E69" s="86"/>
      <c r="F69" s="86"/>
      <c r="G69" s="86"/>
      <c r="H69" s="86"/>
      <c r="I69" s="86"/>
      <c r="J69" s="86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Z69" s="131"/>
      <c r="AB69" s="131"/>
    </row>
    <row r="70" spans="2:28" ht="15.75" thickTop="1" x14ac:dyDescent="0.25">
      <c r="B70" s="124" t="s">
        <v>233</v>
      </c>
      <c r="C70" s="87" t="s">
        <v>199</v>
      </c>
      <c r="D70" s="88">
        <f t="shared" ref="D70:F70" si="100">SUM(D71:D74)</f>
        <v>69243</v>
      </c>
      <c r="E70" s="88">
        <f t="shared" si="100"/>
        <v>52680.960000000006</v>
      </c>
      <c r="F70" s="88">
        <f t="shared" si="100"/>
        <v>52680.960000000006</v>
      </c>
      <c r="G70" s="104">
        <f>SUM(G71:G74)</f>
        <v>33111.760000000002</v>
      </c>
      <c r="H70" s="105">
        <f>SUM(H71:H74)</f>
        <v>33460.039999999986</v>
      </c>
      <c r="I70" s="106">
        <f t="shared" ref="I70:O70" si="101">SUM(I71:I74)</f>
        <v>25288</v>
      </c>
      <c r="J70" s="105">
        <f t="shared" si="101"/>
        <v>29382.190000000002</v>
      </c>
      <c r="K70" s="104">
        <f t="shared" si="101"/>
        <v>25288</v>
      </c>
      <c r="L70" s="89">
        <f t="shared" si="101"/>
        <v>29725.51</v>
      </c>
      <c r="M70" s="104">
        <f t="shared" ref="M70" si="102">SUM(M71:M74)</f>
        <v>1900</v>
      </c>
      <c r="N70" s="89">
        <f t="shared" ref="N70:Q70" si="103">SUM(N71:N74)</f>
        <v>1649.84</v>
      </c>
      <c r="O70" s="104">
        <f t="shared" si="101"/>
        <v>1900</v>
      </c>
      <c r="P70" s="89">
        <f t="shared" si="103"/>
        <v>1624.84</v>
      </c>
      <c r="Q70" s="104">
        <f t="shared" si="103"/>
        <v>1625</v>
      </c>
      <c r="R70" s="89">
        <f t="shared" ref="R70:S70" si="104">SUM(R71:R74)</f>
        <v>1624.84</v>
      </c>
      <c r="S70" s="104">
        <f t="shared" si="104"/>
        <v>1625</v>
      </c>
      <c r="T70" s="89">
        <f t="shared" ref="T70:U70" si="105">SUM(T71:T74)</f>
        <v>1624.84</v>
      </c>
      <c r="U70" s="104">
        <f t="shared" si="105"/>
        <v>1625</v>
      </c>
      <c r="V70" s="89">
        <f t="shared" ref="V70:W70" si="106">SUM(V71:V74)</f>
        <v>1624.84</v>
      </c>
      <c r="W70" s="104">
        <f t="shared" si="106"/>
        <v>1625</v>
      </c>
      <c r="X70" s="89">
        <f t="shared" ref="X70" si="107">SUM(X71:X74)</f>
        <v>0</v>
      </c>
      <c r="Z70" s="131">
        <f>T70/S70</f>
        <v>0.9999015384615384</v>
      </c>
      <c r="AA70" s="131">
        <f t="shared" si="99"/>
        <v>0.9999015384615384</v>
      </c>
      <c r="AB70" s="131"/>
    </row>
    <row r="71" spans="2:28" x14ac:dyDescent="0.25">
      <c r="B71" s="124" t="s">
        <v>233</v>
      </c>
      <c r="C71" s="82" t="s">
        <v>178</v>
      </c>
      <c r="D71" s="78">
        <f>'2015 -  2016'!G73</f>
        <v>33140</v>
      </c>
      <c r="E71" s="78">
        <f>'2015 -  2016'!N73</f>
        <v>33592.660000000003</v>
      </c>
      <c r="F71" s="100">
        <v>33592.660000000003</v>
      </c>
      <c r="G71" s="114">
        <f>'2015 -  2016'!T73</f>
        <v>27712</v>
      </c>
      <c r="H71" s="133">
        <f>' výsledovky 17-22-24'!V147</f>
        <v>28762.42</v>
      </c>
      <c r="I71" s="100">
        <f>114*192</f>
        <v>21888</v>
      </c>
      <c r="J71" s="133">
        <f>' výsledovky 17-22-24'!Y147</f>
        <v>28430.79</v>
      </c>
      <c r="K71" s="148">
        <f>114*192</f>
        <v>21888</v>
      </c>
      <c r="L71" s="115">
        <f>' výsledovky 17-22-24'!AA147</f>
        <v>26512.17</v>
      </c>
      <c r="M71" s="148">
        <v>0</v>
      </c>
      <c r="N71" s="115">
        <f>' výsledovky 17-22-24'!AC147</f>
        <v>0</v>
      </c>
      <c r="O71" s="148">
        <v>0</v>
      </c>
      <c r="P71" s="115">
        <f>' výsledovky 17-22-24'!AE147</f>
        <v>0</v>
      </c>
      <c r="Q71" s="148">
        <v>0</v>
      </c>
      <c r="R71" s="115">
        <f>' výsledovky 17-22-24'!AG147</f>
        <v>0</v>
      </c>
      <c r="S71" s="148">
        <v>0</v>
      </c>
      <c r="T71" s="115">
        <f>' výsledovky 17-22-24'!AI147</f>
        <v>0</v>
      </c>
      <c r="U71" s="148">
        <v>0</v>
      </c>
      <c r="V71" s="115">
        <f>' výsledovky 17-22-24'!AK147</f>
        <v>0</v>
      </c>
      <c r="W71" s="148">
        <v>0</v>
      </c>
      <c r="X71" s="115">
        <f>' výsledovky 17-22-24'!AM147</f>
        <v>0</v>
      </c>
      <c r="Z71" s="131"/>
      <c r="AB71" s="131"/>
    </row>
    <row r="72" spans="2:28" x14ac:dyDescent="0.25">
      <c r="B72" s="124" t="s">
        <v>233</v>
      </c>
      <c r="C72" s="82" t="s">
        <v>179</v>
      </c>
      <c r="D72" s="78">
        <f>'2015 -  2016'!G74</f>
        <v>7000</v>
      </c>
      <c r="E72" s="78">
        <f>'2015 -  2016'!N74</f>
        <v>1352.76</v>
      </c>
      <c r="F72" s="100">
        <v>1352.76</v>
      </c>
      <c r="G72" s="114">
        <f>'2015 -  2016'!T74</f>
        <v>3500</v>
      </c>
      <c r="H72" s="133">
        <f>' výsledovky 17-22-24'!V148</f>
        <v>1685.28</v>
      </c>
      <c r="I72" s="100">
        <v>1500</v>
      </c>
      <c r="J72" s="133">
        <f>' výsledovky 17-22-24'!Y148</f>
        <v>491</v>
      </c>
      <c r="K72" s="148">
        <v>1500</v>
      </c>
      <c r="L72" s="115">
        <f>' výsledovky 17-22-24'!AA148</f>
        <v>201</v>
      </c>
      <c r="M72" s="148">
        <v>0</v>
      </c>
      <c r="N72" s="115">
        <f>' výsledovky 17-22-24'!AC148</f>
        <v>25</v>
      </c>
      <c r="O72" s="148">
        <v>0</v>
      </c>
      <c r="P72" s="115">
        <f>' výsledovky 17-22-24'!AE148</f>
        <v>0</v>
      </c>
      <c r="Q72" s="148">
        <v>0</v>
      </c>
      <c r="R72" s="115">
        <f>' výsledovky 17-22-24'!AG148</f>
        <v>0</v>
      </c>
      <c r="S72" s="148">
        <v>0</v>
      </c>
      <c r="T72" s="115">
        <f>' výsledovky 17-22-24'!AI148</f>
        <v>0</v>
      </c>
      <c r="U72" s="148">
        <v>0</v>
      </c>
      <c r="V72" s="115">
        <f>' výsledovky 17-22-24'!AK148</f>
        <v>0</v>
      </c>
      <c r="W72" s="148">
        <v>0</v>
      </c>
      <c r="X72" s="115">
        <f>' výsledovky 17-22-24'!AM148</f>
        <v>0</v>
      </c>
      <c r="Z72" s="131"/>
      <c r="AB72" s="131"/>
    </row>
    <row r="73" spans="2:28" x14ac:dyDescent="0.25">
      <c r="B73" s="124" t="s">
        <v>233</v>
      </c>
      <c r="C73" s="82" t="s">
        <v>180</v>
      </c>
      <c r="D73" s="78"/>
      <c r="E73" s="78"/>
      <c r="F73" s="100"/>
      <c r="G73" s="114">
        <f>'2015 -  2016'!T85</f>
        <v>1899.76</v>
      </c>
      <c r="H73" s="133">
        <f>' výsledovky 17-22-24'!V149</f>
        <v>3012.34</v>
      </c>
      <c r="I73" s="100">
        <v>1900</v>
      </c>
      <c r="J73" s="133">
        <f>' výsledovky 17-22-24'!Y149</f>
        <v>1387.5</v>
      </c>
      <c r="K73" s="148">
        <v>1900</v>
      </c>
      <c r="L73" s="115">
        <f>' výsledovky 17-22-24'!AA149</f>
        <v>3012.34</v>
      </c>
      <c r="M73" s="148">
        <v>1900</v>
      </c>
      <c r="N73" s="115">
        <f>' výsledovky 17-22-24'!AC149</f>
        <v>1624.84</v>
      </c>
      <c r="O73" s="148">
        <v>1900</v>
      </c>
      <c r="P73" s="115">
        <f>' výsledovky 17-22-24'!AE149</f>
        <v>1624.84</v>
      </c>
      <c r="Q73" s="148">
        <v>1625</v>
      </c>
      <c r="R73" s="115">
        <f>' výsledovky 17-22-24'!AG149</f>
        <v>1624.84</v>
      </c>
      <c r="S73" s="148">
        <v>1625</v>
      </c>
      <c r="T73" s="115">
        <f>' výsledovky 17-22-24'!AI149</f>
        <v>1624.84</v>
      </c>
      <c r="U73" s="148">
        <v>1625</v>
      </c>
      <c r="V73" s="115">
        <f>' výsledovky 17-22-24'!AK149</f>
        <v>1624.84</v>
      </c>
      <c r="W73" s="148">
        <v>1625</v>
      </c>
      <c r="X73" s="115">
        <f>' výsledovky 17-22-24'!AM149</f>
        <v>0</v>
      </c>
      <c r="Z73" s="131">
        <f>T73/S73</f>
        <v>0.9999015384615384</v>
      </c>
      <c r="AA73" s="131">
        <f>V73/U73</f>
        <v>0.9999015384615384</v>
      </c>
      <c r="AB73" s="131"/>
    </row>
    <row r="74" spans="2:28" ht="15.75" thickBot="1" x14ac:dyDescent="0.3">
      <c r="B74" s="124" t="s">
        <v>233</v>
      </c>
      <c r="C74" s="121" t="s">
        <v>225</v>
      </c>
      <c r="D74" s="84">
        <f>'2015 -  2016'!G75+'2015 -  2016'!G76</f>
        <v>29103</v>
      </c>
      <c r="E74" s="84">
        <f>'2015 -  2016'!N75</f>
        <v>17735.54</v>
      </c>
      <c r="F74" s="103">
        <v>17735.54</v>
      </c>
      <c r="G74" s="116"/>
      <c r="H74" s="134">
        <f>SUM(' výsledovky 17-22-24'!V146:V164)-'Finančný plán'!H71-'Finančný plán'!H72-'Finančný plán'!H73</f>
        <v>-4.5474735088646412E-12</v>
      </c>
      <c r="I74" s="103"/>
      <c r="J74" s="134">
        <f>SUM(' výsledovky 17-22-24'!Y146:Y164)-'Finančný plán'!J71-'Finančný plán'!J72-'Finančný plán'!J73</f>
        <v>-927.09999999999854</v>
      </c>
      <c r="K74" s="153"/>
      <c r="L74" s="150">
        <f>SUM(' výsledovky 17-22-24'!AA146:AA164)-'Finančný plán'!L71-'Finančný plán'!L72-'Finančný plán'!L73</f>
        <v>0</v>
      </c>
      <c r="M74" s="153"/>
      <c r="N74" s="150"/>
      <c r="O74" s="153"/>
      <c r="P74" s="150">
        <f>SUM(' výsledovky 17-22-24'!AE146:AE164)-'Finančný plán'!P71-'Finančný plán'!P72-P73</f>
        <v>0</v>
      </c>
      <c r="Q74" s="153"/>
      <c r="R74" s="150">
        <f>SUM(' výsledovky 17-22-24'!AG146:AG164)-'Finančný plán'!R71-'Finančný plán'!R72-R73</f>
        <v>0</v>
      </c>
      <c r="S74" s="153"/>
      <c r="T74" s="150">
        <f>SUM(' výsledovky 17-22-24'!AI146:AI165)-'Finančný plán'!T71-'Finančný plán'!T72-T73</f>
        <v>0</v>
      </c>
      <c r="U74" s="153"/>
      <c r="V74" s="150">
        <f>SUM(' výsledovky 17-22-24'!AK146:AK165)-'Finančný plán'!V71-'Finančný plán'!V72-V73</f>
        <v>0</v>
      </c>
      <c r="W74" s="153"/>
      <c r="X74" s="150">
        <f>SUM(' výsledovky 17-22-24'!AM146:AM165)-'Finančný plán'!X71-'Finančný plán'!X72-X73</f>
        <v>0</v>
      </c>
      <c r="Z74" s="131"/>
      <c r="AA74" s="131"/>
      <c r="AB74" s="131"/>
    </row>
    <row r="75" spans="2:28" ht="40.9" customHeight="1" thickTop="1" thickBot="1" x14ac:dyDescent="0.55000000000000004">
      <c r="C75" s="117" t="s">
        <v>224</v>
      </c>
      <c r="Z75" s="131"/>
      <c r="AB75" s="131"/>
    </row>
    <row r="76" spans="2:28" ht="15.6" customHeight="1" thickTop="1" thickBot="1" x14ac:dyDescent="0.3">
      <c r="B76" s="124" t="s">
        <v>234</v>
      </c>
      <c r="C76" s="68"/>
      <c r="D76" s="181">
        <v>2015</v>
      </c>
      <c r="E76" s="181">
        <v>2016</v>
      </c>
      <c r="F76" s="224">
        <v>2016</v>
      </c>
      <c r="G76" s="242">
        <v>2017</v>
      </c>
      <c r="H76" s="240"/>
      <c r="I76" s="240">
        <v>2018</v>
      </c>
      <c r="J76" s="241"/>
      <c r="K76" s="240">
        <v>2019</v>
      </c>
      <c r="L76" s="241"/>
      <c r="M76" s="240">
        <v>2020</v>
      </c>
      <c r="N76" s="241"/>
      <c r="O76" s="240">
        <v>2021</v>
      </c>
      <c r="P76" s="241"/>
      <c r="Q76" s="240">
        <v>2022</v>
      </c>
      <c r="R76" s="241"/>
      <c r="S76" s="240">
        <v>2023</v>
      </c>
      <c r="T76" s="241"/>
      <c r="U76" s="240">
        <v>2024</v>
      </c>
      <c r="V76" s="241"/>
      <c r="W76" s="240">
        <v>2025</v>
      </c>
      <c r="X76" s="241"/>
      <c r="Z76" s="131"/>
      <c r="AB76" s="131"/>
    </row>
    <row r="77" spans="2:28" ht="15.6" customHeight="1" thickTop="1" thickBot="1" x14ac:dyDescent="0.3">
      <c r="B77" s="124" t="s">
        <v>234</v>
      </c>
      <c r="C77" s="195"/>
      <c r="D77" s="195" t="s">
        <v>186</v>
      </c>
      <c r="E77" s="195" t="s">
        <v>186</v>
      </c>
      <c r="F77" s="185" t="s">
        <v>309</v>
      </c>
      <c r="G77" s="65" t="s">
        <v>185</v>
      </c>
      <c r="H77" s="91" t="s">
        <v>186</v>
      </c>
      <c r="I77" s="96" t="s">
        <v>185</v>
      </c>
      <c r="J77" s="67" t="s">
        <v>186</v>
      </c>
      <c r="K77" s="96" t="s">
        <v>185</v>
      </c>
      <c r="L77" s="67" t="s">
        <v>186</v>
      </c>
      <c r="M77" s="96" t="s">
        <v>185</v>
      </c>
      <c r="N77" s="67" t="s">
        <v>186</v>
      </c>
      <c r="O77" s="96" t="s">
        <v>185</v>
      </c>
      <c r="P77" s="67" t="s">
        <v>186</v>
      </c>
      <c r="Q77" s="96" t="s">
        <v>185</v>
      </c>
      <c r="R77" s="67" t="s">
        <v>186</v>
      </c>
      <c r="S77" s="96" t="s">
        <v>185</v>
      </c>
      <c r="T77" s="236" t="s">
        <v>186</v>
      </c>
      <c r="U77" s="96" t="s">
        <v>185</v>
      </c>
      <c r="V77" s="236" t="s">
        <v>186</v>
      </c>
      <c r="W77" s="96" t="s">
        <v>185</v>
      </c>
      <c r="X77" s="236" t="s">
        <v>186</v>
      </c>
      <c r="Z77" s="131"/>
      <c r="AB77" s="131"/>
    </row>
    <row r="78" spans="2:28" ht="15.75" thickTop="1" x14ac:dyDescent="0.25">
      <c r="B78" s="124" t="s">
        <v>234</v>
      </c>
      <c r="C78" s="206" t="s">
        <v>215</v>
      </c>
      <c r="D78" s="196">
        <f>D7</f>
        <v>-107760</v>
      </c>
      <c r="E78" s="196">
        <f>E7</f>
        <v>-57788.570000000007</v>
      </c>
      <c r="F78" s="196">
        <f>F7</f>
        <v>-85156</v>
      </c>
      <c r="G78" s="157">
        <f>G7</f>
        <v>-42436.69</v>
      </c>
      <c r="H78" s="158">
        <f>H7</f>
        <v>-66740.440000000031</v>
      </c>
      <c r="I78" s="159">
        <f t="shared" ref="I78:O78" si="108">I7</f>
        <v>-49323.81</v>
      </c>
      <c r="J78" s="160">
        <f t="shared" si="108"/>
        <v>-58361.770000000004</v>
      </c>
      <c r="K78" s="159">
        <f t="shared" si="108"/>
        <v>-59880.610000000008</v>
      </c>
      <c r="L78" s="160">
        <f t="shared" si="108"/>
        <v>-91396.270000000019</v>
      </c>
      <c r="M78" s="159">
        <f t="shared" ref="M78" si="109">M7</f>
        <v>-61227.290000000008</v>
      </c>
      <c r="N78" s="160">
        <f t="shared" ref="N78:Q78" si="110">N7</f>
        <v>-65147.740000000005</v>
      </c>
      <c r="O78" s="159">
        <f t="shared" si="108"/>
        <v>-75184.23000000001</v>
      </c>
      <c r="P78" s="160">
        <f t="shared" si="110"/>
        <v>-76944.92</v>
      </c>
      <c r="Q78" s="159">
        <f t="shared" si="110"/>
        <v>-76795.25</v>
      </c>
      <c r="R78" s="160">
        <f t="shared" ref="R78:S78" si="111">R7</f>
        <v>-78443.44</v>
      </c>
      <c r="S78" s="159">
        <f t="shared" si="111"/>
        <v>-81816.53</v>
      </c>
      <c r="T78" s="160">
        <f t="shared" ref="T78:U78" si="112">T7</f>
        <v>-80697.059999999983</v>
      </c>
      <c r="U78" s="159">
        <f t="shared" si="112"/>
        <v>-84566.57</v>
      </c>
      <c r="V78" s="160">
        <f t="shared" ref="V78:W78" si="113">V7</f>
        <v>-86756.859999999986</v>
      </c>
      <c r="W78" s="159">
        <f t="shared" si="113"/>
        <v>-89622.943549999996</v>
      </c>
      <c r="X78" s="160">
        <f t="shared" ref="X78" si="114">X7</f>
        <v>0</v>
      </c>
      <c r="Z78" s="131">
        <f>T78/S78</f>
        <v>0.98631731265063405</v>
      </c>
      <c r="AA78" s="131">
        <f>V78/U78</f>
        <v>1.0259001872725828</v>
      </c>
      <c r="AB78" s="131"/>
    </row>
    <row r="79" spans="2:28" x14ac:dyDescent="0.25">
      <c r="B79" s="124" t="s">
        <v>234</v>
      </c>
      <c r="C79" s="207" t="s">
        <v>216</v>
      </c>
      <c r="D79" s="197">
        <f>D58</f>
        <v>87130</v>
      </c>
      <c r="E79" s="197">
        <f>E58</f>
        <v>0</v>
      </c>
      <c r="F79" s="197">
        <f>F58</f>
        <v>20.29</v>
      </c>
      <c r="G79" s="114">
        <f>G58</f>
        <v>0</v>
      </c>
      <c r="H79" s="133">
        <f>H58</f>
        <v>3919.3</v>
      </c>
      <c r="I79" s="100">
        <f t="shared" ref="I79:O79" si="115">I58</f>
        <v>2000</v>
      </c>
      <c r="J79" s="79">
        <f t="shared" si="115"/>
        <v>4124.84</v>
      </c>
      <c r="K79" s="100">
        <f t="shared" si="115"/>
        <v>2000</v>
      </c>
      <c r="L79" s="79">
        <f t="shared" si="115"/>
        <v>4000.01</v>
      </c>
      <c r="M79" s="100">
        <f t="shared" ref="M79" si="116">M58</f>
        <v>2000</v>
      </c>
      <c r="N79" s="79">
        <f t="shared" ref="N79:Q79" si="117">N58</f>
        <v>4179.41</v>
      </c>
      <c r="O79" s="100">
        <f t="shared" si="115"/>
        <v>15000</v>
      </c>
      <c r="P79" s="79">
        <f t="shared" si="117"/>
        <v>22202.66</v>
      </c>
      <c r="Q79" s="100">
        <f t="shared" si="117"/>
        <v>10000</v>
      </c>
      <c r="R79" s="79">
        <f t="shared" ref="R79:S79" si="118">R58</f>
        <v>14803.69</v>
      </c>
      <c r="S79" s="100">
        <f t="shared" si="118"/>
        <v>10833</v>
      </c>
      <c r="T79" s="79">
        <f t="shared" ref="T79:U79" si="119">T58</f>
        <v>17648.98</v>
      </c>
      <c r="U79" s="100">
        <f t="shared" si="119"/>
        <v>14250</v>
      </c>
      <c r="V79" s="79">
        <f t="shared" ref="V79:W79" si="120">V58</f>
        <v>15106.41</v>
      </c>
      <c r="W79" s="100">
        <f t="shared" si="120"/>
        <v>11250</v>
      </c>
      <c r="X79" s="79">
        <f t="shared" ref="X79" si="121">X58</f>
        <v>0</v>
      </c>
      <c r="Z79" s="131">
        <f t="shared" ref="Z79:Z90" si="122">T79/S79</f>
        <v>1.6291867442075141</v>
      </c>
      <c r="AA79" s="131">
        <f>V79/U79</f>
        <v>1.060098947368421</v>
      </c>
      <c r="AB79" s="131"/>
    </row>
    <row r="80" spans="2:28" ht="15.75" thickBot="1" x14ac:dyDescent="0.3">
      <c r="B80" s="124" t="s">
        <v>234</v>
      </c>
      <c r="C80" s="198"/>
      <c r="D80" s="198">
        <f>D78+D79</f>
        <v>-20630</v>
      </c>
      <c r="E80" s="198">
        <f>E78+E79</f>
        <v>-57788.570000000007</v>
      </c>
      <c r="F80" s="198">
        <f>F78+F79</f>
        <v>-85135.71</v>
      </c>
      <c r="G80" s="123">
        <f>G78+G79</f>
        <v>-42436.69</v>
      </c>
      <c r="H80" s="136">
        <f>H78+H79</f>
        <v>-62821.140000000029</v>
      </c>
      <c r="I80" s="161">
        <f t="shared" ref="I80:O80" si="123">I78+I79</f>
        <v>-47323.81</v>
      </c>
      <c r="J80" s="162">
        <f t="shared" si="123"/>
        <v>-54236.930000000008</v>
      </c>
      <c r="K80" s="161">
        <f t="shared" si="123"/>
        <v>-57880.610000000008</v>
      </c>
      <c r="L80" s="162">
        <f t="shared" si="123"/>
        <v>-87396.260000000024</v>
      </c>
      <c r="M80" s="161">
        <f t="shared" ref="M80" si="124">M78+M79</f>
        <v>-59227.290000000008</v>
      </c>
      <c r="N80" s="162">
        <f t="shared" ref="N80:Q80" si="125">N78+N79</f>
        <v>-60968.33</v>
      </c>
      <c r="O80" s="161">
        <f t="shared" si="123"/>
        <v>-60184.23000000001</v>
      </c>
      <c r="P80" s="162">
        <f t="shared" si="125"/>
        <v>-54742.259999999995</v>
      </c>
      <c r="Q80" s="161">
        <f t="shared" si="125"/>
        <v>-66795.25</v>
      </c>
      <c r="R80" s="162">
        <f t="shared" ref="R80:S80" si="126">R78+R79</f>
        <v>-63639.75</v>
      </c>
      <c r="S80" s="161">
        <f t="shared" si="126"/>
        <v>-70983.53</v>
      </c>
      <c r="T80" s="162">
        <f t="shared" ref="T80:U80" si="127">T78+T79</f>
        <v>-63048.079999999987</v>
      </c>
      <c r="U80" s="161">
        <f t="shared" si="127"/>
        <v>-70316.570000000007</v>
      </c>
      <c r="V80" s="162">
        <f t="shared" ref="V80:W80" si="128">V78+V79</f>
        <v>-71650.449999999983</v>
      </c>
      <c r="W80" s="161">
        <f t="shared" si="128"/>
        <v>-78372.943549999996</v>
      </c>
      <c r="X80" s="162">
        <f t="shared" ref="X80" si="129">X78+X79</f>
        <v>0</v>
      </c>
      <c r="Z80" s="131">
        <f t="shared" si="122"/>
        <v>0.88820716580310932</v>
      </c>
      <c r="AA80" s="131">
        <f>V80/U80</f>
        <v>1.0189696397307204</v>
      </c>
      <c r="AB80" s="131"/>
    </row>
    <row r="81" spans="2:28" ht="15.75" thickTop="1" x14ac:dyDescent="0.25">
      <c r="B81" s="124" t="s">
        <v>234</v>
      </c>
      <c r="C81" s="206" t="s">
        <v>217</v>
      </c>
      <c r="D81" s="196">
        <f>D29</f>
        <v>-201050</v>
      </c>
      <c r="E81" s="196">
        <f>E29</f>
        <v>-176146.88</v>
      </c>
      <c r="F81" s="196">
        <f>F29</f>
        <v>-173112.11999999997</v>
      </c>
      <c r="G81" s="157">
        <f>G29</f>
        <v>-118823.2</v>
      </c>
      <c r="H81" s="158">
        <f>H29</f>
        <v>-112425.19</v>
      </c>
      <c r="I81" s="163">
        <f t="shared" ref="I81:O81" si="130">I29</f>
        <v>-79175.8</v>
      </c>
      <c r="J81" s="164">
        <f t="shared" si="130"/>
        <v>-123123.56000000001</v>
      </c>
      <c r="K81" s="163">
        <f t="shared" si="130"/>
        <v>-83510.399999999994</v>
      </c>
      <c r="L81" s="164">
        <f t="shared" si="130"/>
        <v>-127089.92999999998</v>
      </c>
      <c r="M81" s="163">
        <f t="shared" ref="M81" si="131">M29</f>
        <v>-67283.5</v>
      </c>
      <c r="N81" s="164">
        <f t="shared" ref="N81:Q81" si="132">N29</f>
        <v>-55352.04</v>
      </c>
      <c r="O81" s="163">
        <f t="shared" si="130"/>
        <v>-88351.5</v>
      </c>
      <c r="P81" s="164">
        <f t="shared" si="132"/>
        <v>-76822.149999999994</v>
      </c>
      <c r="Q81" s="163">
        <f t="shared" si="132"/>
        <v>-95561.5</v>
      </c>
      <c r="R81" s="164">
        <f t="shared" ref="R81:S81" si="133">R29</f>
        <v>-92870.599999999991</v>
      </c>
      <c r="S81" s="163">
        <f t="shared" si="133"/>
        <v>-109059.86</v>
      </c>
      <c r="T81" s="164">
        <f t="shared" ref="T81:U81" si="134">T29</f>
        <v>-105793.69</v>
      </c>
      <c r="U81" s="163">
        <f t="shared" si="134"/>
        <v>-116578</v>
      </c>
      <c r="V81" s="164">
        <f t="shared" ref="V81:W81" si="135">V29</f>
        <v>-106329.12</v>
      </c>
      <c r="W81" s="163">
        <f t="shared" si="135"/>
        <v>-99153.369749999998</v>
      </c>
      <c r="X81" s="164">
        <f t="shared" ref="X81" si="136">X29</f>
        <v>0</v>
      </c>
      <c r="Z81" s="131">
        <f t="shared" si="122"/>
        <v>0.97005158451514606</v>
      </c>
      <c r="AA81" s="131">
        <f t="shared" ref="AA81:AA90" si="137">V81/U81</f>
        <v>0.91208564223095268</v>
      </c>
      <c r="AB81" s="131"/>
    </row>
    <row r="82" spans="2:28" x14ac:dyDescent="0.25">
      <c r="B82" s="124" t="s">
        <v>234</v>
      </c>
      <c r="C82" s="207" t="s">
        <v>218</v>
      </c>
      <c r="D82" s="197">
        <f>D63</f>
        <v>271833</v>
      </c>
      <c r="E82" s="197">
        <f>E63</f>
        <v>251508.19</v>
      </c>
      <c r="F82" s="197">
        <f>F63</f>
        <v>251508.18999999997</v>
      </c>
      <c r="G82" s="114">
        <f>G63</f>
        <v>156200</v>
      </c>
      <c r="H82" s="133">
        <f>H63</f>
        <v>211791.57</v>
      </c>
      <c r="I82" s="137">
        <f t="shared" ref="I82:O82" si="138">I63</f>
        <v>150000</v>
      </c>
      <c r="J82" s="115">
        <f t="shared" si="138"/>
        <v>266864.12</v>
      </c>
      <c r="K82" s="137">
        <f t="shared" si="138"/>
        <v>182250</v>
      </c>
      <c r="L82" s="115">
        <f t="shared" si="138"/>
        <v>265817.84000000003</v>
      </c>
      <c r="M82" s="137">
        <f t="shared" ref="M82" si="139">M63</f>
        <v>135920</v>
      </c>
      <c r="N82" s="115">
        <f t="shared" ref="N82:Q82" si="140">N63</f>
        <v>157988.09</v>
      </c>
      <c r="O82" s="137">
        <f t="shared" si="138"/>
        <v>178100</v>
      </c>
      <c r="P82" s="115">
        <f t="shared" si="140"/>
        <v>227170.44</v>
      </c>
      <c r="Q82" s="137">
        <f t="shared" si="140"/>
        <v>198000</v>
      </c>
      <c r="R82" s="115">
        <f t="shared" ref="R82:S82" si="141">R63</f>
        <v>241736.74</v>
      </c>
      <c r="S82" s="137">
        <f t="shared" si="141"/>
        <v>231069.3</v>
      </c>
      <c r="T82" s="115">
        <f t="shared" ref="T82:U82" si="142">T63</f>
        <v>285571.63</v>
      </c>
      <c r="U82" s="137">
        <f t="shared" si="142"/>
        <v>256750</v>
      </c>
      <c r="V82" s="115">
        <f t="shared" ref="V82:W82" si="143">V63</f>
        <v>298966.25</v>
      </c>
      <c r="W82" s="137">
        <f t="shared" si="143"/>
        <v>251930</v>
      </c>
      <c r="X82" s="115">
        <f t="shared" ref="X82" si="144">X63</f>
        <v>0</v>
      </c>
      <c r="Z82" s="131">
        <f t="shared" si="122"/>
        <v>1.2358700614923748</v>
      </c>
      <c r="AA82" s="131">
        <f t="shared" si="137"/>
        <v>1.1644255111976631</v>
      </c>
      <c r="AB82" s="131"/>
    </row>
    <row r="83" spans="2:28" ht="15.75" thickBot="1" x14ac:dyDescent="0.3">
      <c r="B83" s="124" t="s">
        <v>234</v>
      </c>
      <c r="C83" s="208"/>
      <c r="D83" s="198">
        <f t="shared" ref="D83:G83" si="145">D81+D82</f>
        <v>70783</v>
      </c>
      <c r="E83" s="198">
        <f t="shared" si="145"/>
        <v>75361.31</v>
      </c>
      <c r="F83" s="198">
        <f t="shared" si="145"/>
        <v>78396.070000000007</v>
      </c>
      <c r="G83" s="123">
        <f t="shared" si="145"/>
        <v>37376.800000000003</v>
      </c>
      <c r="H83" s="136">
        <f>H81+H82</f>
        <v>99366.38</v>
      </c>
      <c r="I83" s="161">
        <f t="shared" ref="I83:J83" si="146">I81+I82</f>
        <v>70824.2</v>
      </c>
      <c r="J83" s="162">
        <f t="shared" si="146"/>
        <v>143740.56</v>
      </c>
      <c r="K83" s="161">
        <f t="shared" ref="K83:O83" si="147">K81+K82</f>
        <v>98739.6</v>
      </c>
      <c r="L83" s="162">
        <f t="shared" si="147"/>
        <v>138727.91000000003</v>
      </c>
      <c r="M83" s="161">
        <f t="shared" ref="M83" si="148">M81+M82</f>
        <v>68636.5</v>
      </c>
      <c r="N83" s="162">
        <f t="shared" ref="N83:Q83" si="149">N81+N82</f>
        <v>102636.04999999999</v>
      </c>
      <c r="O83" s="161">
        <f t="shared" si="147"/>
        <v>89748.5</v>
      </c>
      <c r="P83" s="162">
        <f t="shared" si="149"/>
        <v>150348.29</v>
      </c>
      <c r="Q83" s="161">
        <f t="shared" si="149"/>
        <v>102438.5</v>
      </c>
      <c r="R83" s="162">
        <f t="shared" ref="R83:S83" si="150">R81+R82</f>
        <v>148866.14000000001</v>
      </c>
      <c r="S83" s="161">
        <f t="shared" si="150"/>
        <v>122009.43999999999</v>
      </c>
      <c r="T83" s="162">
        <f t="shared" ref="T83:U83" si="151">T81+T82</f>
        <v>179777.94</v>
      </c>
      <c r="U83" s="161">
        <f t="shared" si="151"/>
        <v>140172</v>
      </c>
      <c r="V83" s="162">
        <f t="shared" ref="V83:W83" si="152">V81+V82</f>
        <v>192637.13</v>
      </c>
      <c r="W83" s="161">
        <f t="shared" si="152"/>
        <v>152776.63024999999</v>
      </c>
      <c r="X83" s="162">
        <f t="shared" ref="X83" si="153">X81+X82</f>
        <v>0</v>
      </c>
      <c r="Z83" s="131">
        <f t="shared" si="122"/>
        <v>1.4734756589326206</v>
      </c>
      <c r="AA83" s="131">
        <f t="shared" si="137"/>
        <v>1.374291085238136</v>
      </c>
      <c r="AB83" s="131"/>
    </row>
    <row r="84" spans="2:28" ht="15.75" thickTop="1" x14ac:dyDescent="0.25">
      <c r="B84" s="124" t="s">
        <v>234</v>
      </c>
      <c r="C84" s="206" t="s">
        <v>219</v>
      </c>
      <c r="D84" s="196">
        <f>D45</f>
        <v>-59820</v>
      </c>
      <c r="E84" s="196">
        <f>E45</f>
        <v>-6616.0300000000007</v>
      </c>
      <c r="F84" s="196">
        <f>F45</f>
        <v>-35484.769999999997</v>
      </c>
      <c r="G84" s="157">
        <f>G45</f>
        <v>-13445.16</v>
      </c>
      <c r="H84" s="158">
        <f>H45</f>
        <v>-10108.939999999999</v>
      </c>
      <c r="I84" s="163">
        <f t="shared" ref="I84:O84" si="154">I45</f>
        <v>-14112.880000000001</v>
      </c>
      <c r="J84" s="164">
        <f t="shared" si="154"/>
        <v>-9806.76</v>
      </c>
      <c r="K84" s="163">
        <f t="shared" si="154"/>
        <v>-9502.880000000001</v>
      </c>
      <c r="L84" s="164">
        <f t="shared" si="154"/>
        <v>-9087.1500000000015</v>
      </c>
      <c r="M84" s="163">
        <f t="shared" ref="M84" si="155">M45</f>
        <v>-8402.880000000001</v>
      </c>
      <c r="N84" s="164">
        <f t="shared" ref="N84:Q84" si="156">N45</f>
        <v>-9451.8599999999988</v>
      </c>
      <c r="O84" s="163">
        <f t="shared" si="154"/>
        <v>-8402.880000000001</v>
      </c>
      <c r="P84" s="164">
        <f t="shared" si="156"/>
        <v>-7830.4100000000008</v>
      </c>
      <c r="Q84" s="163">
        <f t="shared" si="156"/>
        <v>-8628.36</v>
      </c>
      <c r="R84" s="164">
        <f t="shared" ref="R84:S84" si="157">R45</f>
        <v>-8683.89</v>
      </c>
      <c r="S84" s="163">
        <f t="shared" si="157"/>
        <v>-9416.6</v>
      </c>
      <c r="T84" s="164">
        <f t="shared" ref="T84:U84" si="158">T45</f>
        <v>-9462.9900000000016</v>
      </c>
      <c r="U84" s="163">
        <f t="shared" si="158"/>
        <v>-9416.6</v>
      </c>
      <c r="V84" s="164">
        <f t="shared" ref="V84:W84" si="159">V45</f>
        <v>-10449.529999999999</v>
      </c>
      <c r="W84" s="163">
        <f t="shared" si="159"/>
        <v>-10337.66</v>
      </c>
      <c r="X84" s="164">
        <f t="shared" ref="X84" si="160">X45</f>
        <v>0</v>
      </c>
      <c r="Z84" s="131">
        <f t="shared" si="122"/>
        <v>1.0049264065586305</v>
      </c>
      <c r="AA84" s="131">
        <f t="shared" si="137"/>
        <v>1.1096924579997025</v>
      </c>
      <c r="AB84" s="131"/>
    </row>
    <row r="85" spans="2:28" x14ac:dyDescent="0.25">
      <c r="B85" s="124" t="s">
        <v>234</v>
      </c>
      <c r="C85" s="207" t="s">
        <v>220</v>
      </c>
      <c r="D85" s="197">
        <f t="shared" ref="D85:J85" si="161">D70</f>
        <v>69243</v>
      </c>
      <c r="E85" s="197">
        <f t="shared" si="161"/>
        <v>52680.960000000006</v>
      </c>
      <c r="F85" s="197">
        <f t="shared" si="161"/>
        <v>52680.960000000006</v>
      </c>
      <c r="G85" s="114">
        <f t="shared" si="161"/>
        <v>33111.760000000002</v>
      </c>
      <c r="H85" s="133">
        <f t="shared" si="161"/>
        <v>33460.039999999986</v>
      </c>
      <c r="I85" s="137">
        <f t="shared" si="161"/>
        <v>25288</v>
      </c>
      <c r="J85" s="115">
        <f t="shared" si="161"/>
        <v>29382.190000000002</v>
      </c>
      <c r="K85" s="137">
        <f t="shared" ref="K85:O85" si="162">K70</f>
        <v>25288</v>
      </c>
      <c r="L85" s="115">
        <f t="shared" si="162"/>
        <v>29725.51</v>
      </c>
      <c r="M85" s="137">
        <f t="shared" ref="M85" si="163">M70</f>
        <v>1900</v>
      </c>
      <c r="N85" s="115">
        <f t="shared" ref="N85:Q85" si="164">N70</f>
        <v>1649.84</v>
      </c>
      <c r="O85" s="137">
        <f t="shared" si="162"/>
        <v>1900</v>
      </c>
      <c r="P85" s="115">
        <f t="shared" si="164"/>
        <v>1624.84</v>
      </c>
      <c r="Q85" s="137">
        <f t="shared" si="164"/>
        <v>1625</v>
      </c>
      <c r="R85" s="115">
        <f t="shared" ref="R85:S85" si="165">R70</f>
        <v>1624.84</v>
      </c>
      <c r="S85" s="137">
        <f t="shared" si="165"/>
        <v>1625</v>
      </c>
      <c r="T85" s="115">
        <f t="shared" ref="T85:U85" si="166">T70</f>
        <v>1624.84</v>
      </c>
      <c r="U85" s="137">
        <f t="shared" si="166"/>
        <v>1625</v>
      </c>
      <c r="V85" s="115">
        <f t="shared" ref="V85:W85" si="167">V70</f>
        <v>1624.84</v>
      </c>
      <c r="W85" s="137">
        <f t="shared" si="167"/>
        <v>1625</v>
      </c>
      <c r="X85" s="115">
        <f t="shared" ref="X85" si="168">X70</f>
        <v>0</v>
      </c>
      <c r="Z85" s="131">
        <f t="shared" si="122"/>
        <v>0.9999015384615384</v>
      </c>
      <c r="AA85" s="131">
        <f t="shared" si="137"/>
        <v>0.9999015384615384</v>
      </c>
      <c r="AB85" s="131"/>
    </row>
    <row r="86" spans="2:28" ht="15.75" thickBot="1" x14ac:dyDescent="0.3">
      <c r="B86" s="124" t="s">
        <v>234</v>
      </c>
      <c r="C86" s="208"/>
      <c r="D86" s="198">
        <f t="shared" ref="D86:J86" si="169">D84+D85</f>
        <v>9423</v>
      </c>
      <c r="E86" s="198">
        <f t="shared" si="169"/>
        <v>46064.930000000008</v>
      </c>
      <c r="F86" s="198">
        <f t="shared" si="169"/>
        <v>17196.19000000001</v>
      </c>
      <c r="G86" s="123">
        <f t="shared" si="169"/>
        <v>19666.600000000002</v>
      </c>
      <c r="H86" s="136">
        <f t="shared" si="169"/>
        <v>23351.099999999988</v>
      </c>
      <c r="I86" s="161">
        <f t="shared" si="169"/>
        <v>11175.119999999999</v>
      </c>
      <c r="J86" s="162">
        <f t="shared" si="169"/>
        <v>19575.43</v>
      </c>
      <c r="K86" s="161">
        <f t="shared" ref="K86:O86" si="170">K84+K85</f>
        <v>15785.119999999999</v>
      </c>
      <c r="L86" s="162">
        <f t="shared" si="170"/>
        <v>20638.359999999997</v>
      </c>
      <c r="M86" s="161">
        <f t="shared" ref="M86" si="171">M84+M85</f>
        <v>-6502.880000000001</v>
      </c>
      <c r="N86" s="162">
        <f t="shared" ref="N86:Q86" si="172">N84+N85</f>
        <v>-7802.0199999999986</v>
      </c>
      <c r="O86" s="161">
        <f t="shared" si="170"/>
        <v>-6502.880000000001</v>
      </c>
      <c r="P86" s="162">
        <f t="shared" si="172"/>
        <v>-6205.5700000000006</v>
      </c>
      <c r="Q86" s="161">
        <f t="shared" si="172"/>
        <v>-7003.3600000000006</v>
      </c>
      <c r="R86" s="162">
        <f t="shared" ref="R86:S86" si="173">R84+R85</f>
        <v>-7059.0499999999993</v>
      </c>
      <c r="S86" s="161">
        <f t="shared" si="173"/>
        <v>-7791.6</v>
      </c>
      <c r="T86" s="162">
        <f t="shared" ref="T86:U86" si="174">T84+T85</f>
        <v>-7838.1500000000015</v>
      </c>
      <c r="U86" s="161">
        <f t="shared" si="174"/>
        <v>-7791.6</v>
      </c>
      <c r="V86" s="162">
        <f t="shared" ref="V86:W86" si="175">V84+V85</f>
        <v>-8824.6899999999987</v>
      </c>
      <c r="W86" s="161">
        <f t="shared" si="175"/>
        <v>-8712.66</v>
      </c>
      <c r="X86" s="162">
        <f t="shared" ref="X86" si="176">X84+X85</f>
        <v>0</v>
      </c>
      <c r="Z86" s="131">
        <f t="shared" si="122"/>
        <v>1.005974382668515</v>
      </c>
      <c r="AA86" s="131">
        <f t="shared" si="137"/>
        <v>1.1325902253709121</v>
      </c>
      <c r="AB86" s="131"/>
    </row>
    <row r="87" spans="2:28" ht="15.75" thickTop="1" x14ac:dyDescent="0.25">
      <c r="B87" s="124" t="s">
        <v>234</v>
      </c>
      <c r="C87" s="185" t="s">
        <v>187</v>
      </c>
      <c r="D87" s="199">
        <f>D5</f>
        <v>-368630</v>
      </c>
      <c r="E87" s="199">
        <f>E5</f>
        <v>-240551.48</v>
      </c>
      <c r="F87" s="199">
        <f>F5</f>
        <v>-293752.88999999996</v>
      </c>
      <c r="G87" s="191">
        <f>G5</f>
        <v>-174705.05000000002</v>
      </c>
      <c r="H87" s="186">
        <f>H5</f>
        <v>-189274.57000000004</v>
      </c>
      <c r="I87" s="186">
        <f t="shared" ref="I87:O87" si="177">I5</f>
        <v>-142612.49</v>
      </c>
      <c r="J87" s="204">
        <f t="shared" si="177"/>
        <v>-191292.09000000003</v>
      </c>
      <c r="K87" s="191">
        <f t="shared" si="177"/>
        <v>-152893.89000000001</v>
      </c>
      <c r="L87" s="204">
        <f t="shared" si="177"/>
        <v>-227573.35</v>
      </c>
      <c r="M87" s="191">
        <f t="shared" ref="M87" si="178">M5</f>
        <v>-136913.67000000001</v>
      </c>
      <c r="N87" s="204">
        <f t="shared" ref="N87:Q87" si="179">N5</f>
        <v>-129951.64</v>
      </c>
      <c r="O87" s="191">
        <f t="shared" si="177"/>
        <v>-171938.61000000002</v>
      </c>
      <c r="P87" s="204">
        <f t="shared" si="179"/>
        <v>-161597.48000000001</v>
      </c>
      <c r="Q87" s="191">
        <f t="shared" si="179"/>
        <v>-180985.11</v>
      </c>
      <c r="R87" s="204">
        <f t="shared" ref="R87:S87" si="180">R5</f>
        <v>-179997.93</v>
      </c>
      <c r="S87" s="191">
        <f t="shared" si="180"/>
        <v>-200292.99000000002</v>
      </c>
      <c r="T87" s="204">
        <f t="shared" ref="T87:U87" si="181">T5</f>
        <v>-195953.74</v>
      </c>
      <c r="U87" s="191">
        <f t="shared" si="181"/>
        <v>-210561.17</v>
      </c>
      <c r="V87" s="204">
        <f t="shared" ref="V87:W87" si="182">V5</f>
        <v>-203535.50999999998</v>
      </c>
      <c r="W87" s="191">
        <f t="shared" si="182"/>
        <v>-199113.97329999998</v>
      </c>
      <c r="X87" s="204">
        <f t="shared" ref="X87" si="183">X5</f>
        <v>0</v>
      </c>
      <c r="Z87" s="131">
        <f t="shared" si="122"/>
        <v>0.97833548742769261</v>
      </c>
      <c r="AA87" s="131">
        <f t="shared" si="137"/>
        <v>0.96663363905130262</v>
      </c>
      <c r="AB87" s="131"/>
    </row>
    <row r="88" spans="2:28" ht="15.75" thickBot="1" x14ac:dyDescent="0.3">
      <c r="B88" s="124" t="s">
        <v>234</v>
      </c>
      <c r="C88" s="165" t="s">
        <v>204</v>
      </c>
      <c r="D88" s="200">
        <f>D56</f>
        <v>428206</v>
      </c>
      <c r="E88" s="200">
        <f>E56</f>
        <v>304189.15000000002</v>
      </c>
      <c r="F88" s="200">
        <f>F56</f>
        <v>304209.44</v>
      </c>
      <c r="G88" s="192">
        <f>G56</f>
        <v>189311.76</v>
      </c>
      <c r="H88" s="187">
        <f>H56</f>
        <v>249170.90999999997</v>
      </c>
      <c r="I88" s="187">
        <f t="shared" ref="I88:O88" si="184">I56</f>
        <v>177288</v>
      </c>
      <c r="J88" s="118">
        <f t="shared" si="184"/>
        <v>300371.15000000002</v>
      </c>
      <c r="K88" s="192">
        <f t="shared" si="184"/>
        <v>209538</v>
      </c>
      <c r="L88" s="118">
        <f t="shared" si="184"/>
        <v>299543.36000000004</v>
      </c>
      <c r="M88" s="192">
        <f t="shared" ref="M88" si="185">M56</f>
        <v>139820</v>
      </c>
      <c r="N88" s="118">
        <f t="shared" ref="N88:Q88" si="186">N56</f>
        <v>163817.34</v>
      </c>
      <c r="O88" s="192">
        <f t="shared" si="184"/>
        <v>195000</v>
      </c>
      <c r="P88" s="118">
        <f t="shared" si="186"/>
        <v>250997.94</v>
      </c>
      <c r="Q88" s="192">
        <f t="shared" si="186"/>
        <v>209625</v>
      </c>
      <c r="R88" s="118">
        <f t="shared" ref="R88:S88" si="187">R56</f>
        <v>258165.27</v>
      </c>
      <c r="S88" s="192">
        <f t="shared" si="187"/>
        <v>243527.3</v>
      </c>
      <c r="T88" s="118">
        <f t="shared" ref="T88:U88" si="188">T56</f>
        <v>304845.45</v>
      </c>
      <c r="U88" s="192">
        <f t="shared" si="188"/>
        <v>272625</v>
      </c>
      <c r="V88" s="118">
        <f t="shared" ref="V88:W88" si="189">V56</f>
        <v>315697.5</v>
      </c>
      <c r="W88" s="192">
        <f t="shared" si="189"/>
        <v>264805</v>
      </c>
      <c r="X88" s="118">
        <f t="shared" ref="X88" si="190">X56</f>
        <v>0</v>
      </c>
      <c r="Z88" s="131">
        <f t="shared" si="122"/>
        <v>1.2517916882419344</v>
      </c>
      <c r="AA88" s="131">
        <f t="shared" si="137"/>
        <v>1.1579917469050893</v>
      </c>
      <c r="AB88" s="131"/>
    </row>
    <row r="89" spans="2:28" ht="16.5" thickTop="1" thickBot="1" x14ac:dyDescent="0.3">
      <c r="C89" s="188" t="s">
        <v>221</v>
      </c>
      <c r="D89" s="201">
        <f>SUM(D86+D83+D80)</f>
        <v>59576</v>
      </c>
      <c r="E89" s="201">
        <f>SUM(E86+E83+E80)</f>
        <v>63637.67</v>
      </c>
      <c r="F89" s="201">
        <f>SUM(F86+F83+F80)</f>
        <v>10456.550000000003</v>
      </c>
      <c r="G89" s="193">
        <f>SUM(G86+G83+G80)</f>
        <v>14606.710000000006</v>
      </c>
      <c r="H89" s="189">
        <f>SUM(H86+H83+H80)</f>
        <v>59896.339999999967</v>
      </c>
      <c r="I89" s="189">
        <f t="shared" ref="I89:O89" si="191">SUM(I86+I83+I80)</f>
        <v>34675.509999999995</v>
      </c>
      <c r="J89" s="119">
        <f t="shared" si="191"/>
        <v>109079.05999999998</v>
      </c>
      <c r="K89" s="193">
        <f t="shared" si="191"/>
        <v>56644.109999999993</v>
      </c>
      <c r="L89" s="119">
        <f t="shared" si="191"/>
        <v>71970.009999999995</v>
      </c>
      <c r="M89" s="193">
        <f t="shared" ref="M89" si="192">SUM(M86+M83+M80)</f>
        <v>2906.3299999999872</v>
      </c>
      <c r="N89" s="119">
        <f t="shared" ref="N89:Q89" si="193">SUM(N86+N83+N80)</f>
        <v>33865.699999999983</v>
      </c>
      <c r="O89" s="193">
        <f t="shared" si="191"/>
        <v>23061.389999999985</v>
      </c>
      <c r="P89" s="119">
        <f t="shared" si="193"/>
        <v>89400.46</v>
      </c>
      <c r="Q89" s="193">
        <f t="shared" si="193"/>
        <v>28639.89</v>
      </c>
      <c r="R89" s="119">
        <f t="shared" ref="R89:S89" si="194">SUM(R86+R83+R80)</f>
        <v>78167.340000000026</v>
      </c>
      <c r="S89" s="193">
        <f t="shared" si="194"/>
        <v>43234.309999999983</v>
      </c>
      <c r="T89" s="119">
        <f t="shared" ref="T89:U89" si="195">SUM(T86+T83+T80)</f>
        <v>108891.71000000002</v>
      </c>
      <c r="U89" s="193">
        <f t="shared" si="195"/>
        <v>62063.829999999987</v>
      </c>
      <c r="V89" s="119">
        <f t="shared" ref="V89:W89" si="196">SUM(V86+V83+V80)</f>
        <v>112161.99000000002</v>
      </c>
      <c r="W89" s="193">
        <f t="shared" si="196"/>
        <v>65691.026699999988</v>
      </c>
      <c r="X89" s="119">
        <f t="shared" ref="X89" si="197">SUM(X86+X83+X80)</f>
        <v>0</v>
      </c>
      <c r="Z89" s="131">
        <f t="shared" si="122"/>
        <v>2.5186410977762814</v>
      </c>
      <c r="AA89" s="131">
        <f t="shared" si="137"/>
        <v>1.807203809368517</v>
      </c>
      <c r="AB89" s="131"/>
    </row>
    <row r="90" spans="2:28" ht="16.5" thickTop="1" thickBot="1" x14ac:dyDescent="0.3">
      <c r="B90" s="124" t="s">
        <v>234</v>
      </c>
      <c r="C90" s="120" t="s">
        <v>243</v>
      </c>
      <c r="D90" s="202"/>
      <c r="E90" s="202"/>
      <c r="F90" s="203">
        <v>-3087.95</v>
      </c>
      <c r="G90" s="194"/>
      <c r="H90" s="190">
        <v>-11458.12</v>
      </c>
      <c r="I90" s="130">
        <f>-I89*0.25</f>
        <v>-8668.8774999999987</v>
      </c>
      <c r="J90" s="205">
        <f>' výsledovky 17-22-24'!Y251</f>
        <v>-23420.63</v>
      </c>
      <c r="K90" s="203">
        <f>-K89*0.25</f>
        <v>-14161.027499999998</v>
      </c>
      <c r="L90" s="205">
        <f>' výsledovky 17-22-24'!AA251</f>
        <v>-14864.95</v>
      </c>
      <c r="M90" s="203">
        <f>-M89*0.25</f>
        <v>-726.5824999999968</v>
      </c>
      <c r="N90" s="205">
        <v>-9233.2900000000009</v>
      </c>
      <c r="O90" s="203">
        <f>-O89*0.25</f>
        <v>-5765.3474999999962</v>
      </c>
      <c r="P90" s="205">
        <v>-18825.3</v>
      </c>
      <c r="Q90" s="203">
        <f>-Q89*0.25</f>
        <v>-7159.9724999999999</v>
      </c>
      <c r="R90" s="205">
        <f>' výsledovky 17-22-24'!AG251</f>
        <v>-16677.740000000002</v>
      </c>
      <c r="S90" s="203">
        <f>-S89*0.25</f>
        <v>-10808.577499999996</v>
      </c>
      <c r="T90" s="205">
        <f>' výsledovky 17-22-24'!AI251</f>
        <v>-22969.59</v>
      </c>
      <c r="U90" s="203">
        <f>-U89*0.25</f>
        <v>-15515.957499999997</v>
      </c>
      <c r="V90" s="205">
        <f>' výsledovky 17-22-24'!AK253</f>
        <v>-24316.100000000002</v>
      </c>
      <c r="W90" s="203">
        <f>-W89*0.25</f>
        <v>-16422.756674999997</v>
      </c>
      <c r="X90" s="205">
        <f>' výsledovky 17-22-24'!AM253</f>
        <v>0</v>
      </c>
      <c r="Z90" s="131">
        <f t="shared" si="122"/>
        <v>2.1251260862032963</v>
      </c>
      <c r="AA90" s="131">
        <f t="shared" si="137"/>
        <v>1.5671672212301437</v>
      </c>
      <c r="AB90" s="131"/>
    </row>
    <row r="91" spans="2:28" ht="16.5" thickTop="1" thickBot="1" x14ac:dyDescent="0.3">
      <c r="C91" s="188" t="s">
        <v>244</v>
      </c>
      <c r="D91" s="201">
        <f>SUM(D89+D90)</f>
        <v>59576</v>
      </c>
      <c r="E91" s="201">
        <f>SUM(E89+E90)</f>
        <v>63637.67</v>
      </c>
      <c r="F91" s="201">
        <f>SUM(F89+F90)</f>
        <v>7368.6000000000031</v>
      </c>
      <c r="G91" s="193">
        <f>SUM(G89+G90)</f>
        <v>14606.710000000006</v>
      </c>
      <c r="H91" s="189">
        <f>SUM(H89+H90)</f>
        <v>48438.219999999965</v>
      </c>
      <c r="I91" s="189">
        <f t="shared" ref="I91:O91" si="198">SUM(I89+I90)</f>
        <v>26006.632499999996</v>
      </c>
      <c r="J91" s="119">
        <f t="shared" si="198"/>
        <v>85658.429999999978</v>
      </c>
      <c r="K91" s="193">
        <f t="shared" si="198"/>
        <v>42483.082499999997</v>
      </c>
      <c r="L91" s="119">
        <f t="shared" si="198"/>
        <v>57105.06</v>
      </c>
      <c r="M91" s="193">
        <f t="shared" ref="M91" si="199">SUM(M89+M90)</f>
        <v>2179.7474999999904</v>
      </c>
      <c r="N91" s="119">
        <f t="shared" ref="N91:Q91" si="200">SUM(N89+N90)</f>
        <v>24632.409999999982</v>
      </c>
      <c r="O91" s="193">
        <f t="shared" si="198"/>
        <v>17296.042499999989</v>
      </c>
      <c r="P91" s="119">
        <f t="shared" si="200"/>
        <v>70575.16</v>
      </c>
      <c r="Q91" s="193">
        <f t="shared" si="200"/>
        <v>21479.9175</v>
      </c>
      <c r="R91" s="119">
        <f t="shared" ref="R91:S91" si="201">SUM(R89+R90)</f>
        <v>61489.60000000002</v>
      </c>
      <c r="S91" s="193">
        <f t="shared" si="201"/>
        <v>32425.732499999987</v>
      </c>
      <c r="T91" s="119">
        <f t="shared" ref="T91:U91" si="202">SUM(T89+T90)</f>
        <v>85922.120000000024</v>
      </c>
      <c r="U91" s="193">
        <f t="shared" si="202"/>
        <v>46547.87249999999</v>
      </c>
      <c r="V91" s="119">
        <f t="shared" ref="V91:W91" si="203">SUM(V89+V90)</f>
        <v>87845.890000000014</v>
      </c>
      <c r="W91" s="193">
        <f t="shared" si="203"/>
        <v>49268.270024999991</v>
      </c>
      <c r="X91" s="119">
        <f t="shared" ref="X91" si="204">SUM(X89+X90)</f>
        <v>0</v>
      </c>
      <c r="Z91" s="131">
        <f>T91/S91</f>
        <v>2.6498127683006101</v>
      </c>
      <c r="AA91" s="131">
        <f>V91/U91</f>
        <v>1.8872160054146412</v>
      </c>
      <c r="AB91" s="131"/>
    </row>
    <row r="92" spans="2:28" ht="15.75" thickTop="1" x14ac:dyDescent="0.25">
      <c r="C92" s="128" t="s">
        <v>308</v>
      </c>
      <c r="D92" s="223">
        <v>5258</v>
      </c>
      <c r="E92" s="86">
        <v>10457</v>
      </c>
      <c r="F92" s="86"/>
    </row>
    <row r="93" spans="2:28" x14ac:dyDescent="0.25">
      <c r="E93" s="86"/>
      <c r="F93" s="86"/>
    </row>
  </sheetData>
  <autoFilter ref="B1:AA91" xr:uid="{00000000-0009-0000-0000-000000000000}"/>
  <mergeCells count="18">
    <mergeCell ref="Q2:R2"/>
    <mergeCell ref="Q76:R76"/>
    <mergeCell ref="G2:H2"/>
    <mergeCell ref="G76:H76"/>
    <mergeCell ref="K2:L2"/>
    <mergeCell ref="K76:L76"/>
    <mergeCell ref="O76:P76"/>
    <mergeCell ref="O2:P2"/>
    <mergeCell ref="M2:N2"/>
    <mergeCell ref="M76:N76"/>
    <mergeCell ref="I2:J2"/>
    <mergeCell ref="I76:J76"/>
    <mergeCell ref="W2:X2"/>
    <mergeCell ref="W76:X76"/>
    <mergeCell ref="U2:V2"/>
    <mergeCell ref="U76:V76"/>
    <mergeCell ref="S2:T2"/>
    <mergeCell ref="S76:T76"/>
  </mergeCells>
  <pageMargins left="0.25" right="0.25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9"/>
  <sheetViews>
    <sheetView topLeftCell="A81" zoomScale="130" zoomScaleNormal="130" workbookViewId="0">
      <selection activeCell="J96" sqref="J96"/>
    </sheetView>
  </sheetViews>
  <sheetFormatPr defaultRowHeight="15" x14ac:dyDescent="0.25"/>
  <cols>
    <col min="1" max="1" width="24.140625" bestFit="1" customWidth="1"/>
    <col min="5" max="5" width="9.5703125" bestFit="1" customWidth="1"/>
    <col min="7" max="7" width="10.85546875" customWidth="1"/>
    <col min="8" max="9" width="9.5703125" bestFit="1" customWidth="1"/>
  </cols>
  <sheetData>
    <row r="1" spans="1:8" x14ac:dyDescent="0.25">
      <c r="A1" s="178">
        <v>2019</v>
      </c>
    </row>
    <row r="2" spans="1:8" x14ac:dyDescent="0.25">
      <c r="A2" s="166" t="s">
        <v>257</v>
      </c>
      <c r="B2" s="166" t="s">
        <v>258</v>
      </c>
      <c r="C2" s="166" t="s">
        <v>259</v>
      </c>
      <c r="D2" s="166" t="s">
        <v>260</v>
      </c>
      <c r="E2" s="166" t="s">
        <v>68</v>
      </c>
      <c r="F2" s="166" t="s">
        <v>261</v>
      </c>
      <c r="G2" s="166" t="s">
        <v>54</v>
      </c>
      <c r="H2" s="166" t="s">
        <v>262</v>
      </c>
    </row>
    <row r="3" spans="1:8" x14ac:dyDescent="0.25">
      <c r="A3" t="s">
        <v>30</v>
      </c>
      <c r="B3">
        <v>11</v>
      </c>
      <c r="C3">
        <v>15</v>
      </c>
      <c r="D3" s="86">
        <v>70</v>
      </c>
      <c r="E3" s="86">
        <f>SUM(C3*D3*B3)</f>
        <v>11550</v>
      </c>
      <c r="F3" s="86">
        <f>-B3*C3*8</f>
        <v>-1320</v>
      </c>
      <c r="G3" s="86">
        <f>-10*700</f>
        <v>-7000</v>
      </c>
      <c r="H3" s="86">
        <f>SUM(E3+F3+G3)</f>
        <v>3230</v>
      </c>
    </row>
    <row r="4" spans="1:8" x14ac:dyDescent="0.25">
      <c r="A4" t="s">
        <v>263</v>
      </c>
      <c r="B4">
        <v>1</v>
      </c>
      <c r="C4">
        <v>70</v>
      </c>
      <c r="D4" s="86">
        <v>154</v>
      </c>
      <c r="E4" s="86">
        <f t="shared" ref="E4:E9" si="0">SUM(C4*D4*B4)</f>
        <v>10780</v>
      </c>
      <c r="F4" s="86">
        <f>SUM(-C4*60*B4)</f>
        <v>-4200</v>
      </c>
      <c r="G4" s="86">
        <f>SUM(-5.5*130*B4)</f>
        <v>-715</v>
      </c>
      <c r="H4" s="86">
        <f t="shared" ref="H4:H9" si="1">SUM(E4+F4+G4)</f>
        <v>5865</v>
      </c>
    </row>
    <row r="5" spans="1:8" x14ac:dyDescent="0.25">
      <c r="A5" t="s">
        <v>264</v>
      </c>
      <c r="B5">
        <v>1</v>
      </c>
      <c r="C5">
        <v>70</v>
      </c>
      <c r="D5" s="86">
        <v>150</v>
      </c>
      <c r="E5" s="86">
        <f t="shared" si="0"/>
        <v>10500</v>
      </c>
      <c r="F5" s="86">
        <f>SUM(-C5*100*B5)</f>
        <v>-7000</v>
      </c>
      <c r="G5" s="86">
        <f>SUM(-5.5*130*B5)</f>
        <v>-715</v>
      </c>
      <c r="H5" s="86">
        <f t="shared" si="1"/>
        <v>2785</v>
      </c>
    </row>
    <row r="6" spans="1:8" x14ac:dyDescent="0.25">
      <c r="A6" t="s">
        <v>265</v>
      </c>
      <c r="B6">
        <v>1</v>
      </c>
      <c r="C6">
        <v>30</v>
      </c>
      <c r="D6" s="86">
        <v>550</v>
      </c>
      <c r="E6" s="86">
        <f t="shared" si="0"/>
        <v>16500</v>
      </c>
      <c r="F6" s="86">
        <f>SUM(-C6*10*8*B6)</f>
        <v>-2400</v>
      </c>
      <c r="G6" s="86">
        <v>-5000</v>
      </c>
      <c r="H6" s="86">
        <f t="shared" si="1"/>
        <v>9100</v>
      </c>
    </row>
    <row r="7" spans="1:8" x14ac:dyDescent="0.25">
      <c r="A7" t="s">
        <v>58</v>
      </c>
      <c r="B7">
        <v>2</v>
      </c>
      <c r="C7">
        <v>120</v>
      </c>
      <c r="D7" s="86">
        <v>150</v>
      </c>
      <c r="E7" s="86">
        <f t="shared" si="0"/>
        <v>36000</v>
      </c>
      <c r="F7" s="86">
        <f>SUM(-C7*65*B7)</f>
        <v>-15600</v>
      </c>
      <c r="G7" s="86">
        <f>SUM(-2*130*7*B7)</f>
        <v>-3640</v>
      </c>
      <c r="H7" s="86">
        <f t="shared" si="1"/>
        <v>16760</v>
      </c>
    </row>
    <row r="8" spans="1:8" x14ac:dyDescent="0.25">
      <c r="A8" t="s">
        <v>266</v>
      </c>
      <c r="B8">
        <v>2</v>
      </c>
      <c r="C8">
        <v>40</v>
      </c>
      <c r="D8" s="86">
        <v>1000</v>
      </c>
      <c r="E8" s="86">
        <f t="shared" si="0"/>
        <v>80000</v>
      </c>
      <c r="F8" s="86">
        <f>SUM(-C8*8*24*B8)</f>
        <v>-15360</v>
      </c>
      <c r="G8" s="86">
        <f>SUM(-18*500*B8)</f>
        <v>-18000</v>
      </c>
      <c r="H8" s="86">
        <f t="shared" si="1"/>
        <v>46640</v>
      </c>
    </row>
    <row r="9" spans="1:8" x14ac:dyDescent="0.25">
      <c r="A9" t="s">
        <v>267</v>
      </c>
      <c r="B9">
        <v>4</v>
      </c>
      <c r="C9">
        <v>30</v>
      </c>
      <c r="D9" s="86">
        <v>41</v>
      </c>
      <c r="E9" s="86">
        <f t="shared" si="0"/>
        <v>4920</v>
      </c>
      <c r="F9" s="86">
        <f>SUM(-C9*8*B9)</f>
        <v>-960</v>
      </c>
      <c r="G9" s="86">
        <f>SUM(-400*B9)</f>
        <v>-1600</v>
      </c>
      <c r="H9" s="86">
        <f t="shared" si="1"/>
        <v>2360</v>
      </c>
    </row>
    <row r="10" spans="1:8" x14ac:dyDescent="0.25">
      <c r="A10" s="167" t="s">
        <v>268</v>
      </c>
      <c r="B10" s="168"/>
      <c r="C10" s="168"/>
      <c r="D10" s="169"/>
      <c r="E10" s="169">
        <f>SUM(E3:E9)</f>
        <v>170250</v>
      </c>
      <c r="F10" s="244">
        <f>SUM(F3:G9)</f>
        <v>-83510</v>
      </c>
      <c r="G10" s="244"/>
      <c r="H10" s="169">
        <f>SUM(H3:H9)</f>
        <v>86740</v>
      </c>
    </row>
    <row r="11" spans="1:8" x14ac:dyDescent="0.25">
      <c r="F11" s="170">
        <f>SUM(F3:F9)</f>
        <v>-46840</v>
      </c>
      <c r="G11" s="170">
        <f>SUM(G3:G9)</f>
        <v>-36670</v>
      </c>
    </row>
    <row r="12" spans="1:8" ht="24" customHeight="1" x14ac:dyDescent="0.25"/>
    <row r="13" spans="1:8" x14ac:dyDescent="0.25">
      <c r="A13" s="178">
        <v>2020</v>
      </c>
    </row>
    <row r="14" spans="1:8" x14ac:dyDescent="0.25">
      <c r="A14" s="166" t="s">
        <v>257</v>
      </c>
      <c r="B14" s="166" t="s">
        <v>258</v>
      </c>
      <c r="C14" s="166" t="s">
        <v>259</v>
      </c>
      <c r="D14" s="166" t="s">
        <v>260</v>
      </c>
      <c r="E14" s="166" t="s">
        <v>68</v>
      </c>
      <c r="F14" s="166" t="s">
        <v>261</v>
      </c>
      <c r="G14" s="166" t="s">
        <v>54</v>
      </c>
      <c r="H14" s="166" t="s">
        <v>262</v>
      </c>
    </row>
    <row r="15" spans="1:8" x14ac:dyDescent="0.25">
      <c r="A15" t="s">
        <v>30</v>
      </c>
      <c r="B15" s="183">
        <v>22</v>
      </c>
      <c r="C15">
        <v>15</v>
      </c>
      <c r="D15" s="86">
        <v>70</v>
      </c>
      <c r="E15" s="86">
        <f>SUM(C15*D15*B15)</f>
        <v>23100</v>
      </c>
      <c r="F15" s="86">
        <f>-B15*C15*8</f>
        <v>-2640</v>
      </c>
      <c r="G15" s="86">
        <f>-10*700</f>
        <v>-7000</v>
      </c>
      <c r="H15" s="86">
        <f>SUM(E15+F15+G15)</f>
        <v>13460</v>
      </c>
    </row>
    <row r="16" spans="1:8" x14ac:dyDescent="0.25">
      <c r="A16" t="s">
        <v>263</v>
      </c>
      <c r="B16">
        <v>1</v>
      </c>
      <c r="C16" s="183">
        <v>100</v>
      </c>
      <c r="D16" s="86">
        <v>154</v>
      </c>
      <c r="E16" s="86">
        <f t="shared" ref="E16:E22" si="2">SUM(C16*D16*B16)</f>
        <v>15400</v>
      </c>
      <c r="F16" s="86">
        <f>SUM(-C16*60*B16)</f>
        <v>-6000</v>
      </c>
      <c r="G16" s="86">
        <f>SUM(-5.5*130*B16)</f>
        <v>-715</v>
      </c>
      <c r="H16" s="86">
        <f t="shared" ref="H16:H22" si="3">SUM(E16+F16+G16)</f>
        <v>8685</v>
      </c>
    </row>
    <row r="17" spans="1:17" x14ac:dyDescent="0.25">
      <c r="A17" t="s">
        <v>284</v>
      </c>
      <c r="B17">
        <v>1</v>
      </c>
      <c r="C17" s="183">
        <v>62</v>
      </c>
      <c r="D17" s="86">
        <v>60</v>
      </c>
      <c r="E17" s="86">
        <f t="shared" si="2"/>
        <v>3720</v>
      </c>
      <c r="F17" s="184">
        <v>0</v>
      </c>
      <c r="G17" s="184">
        <v>-780</v>
      </c>
      <c r="H17" s="86">
        <f t="shared" si="3"/>
        <v>2940</v>
      </c>
    </row>
    <row r="18" spans="1:17" x14ac:dyDescent="0.25">
      <c r="A18" t="s">
        <v>264</v>
      </c>
      <c r="B18">
        <v>0</v>
      </c>
      <c r="C18">
        <v>70</v>
      </c>
      <c r="D18" s="86">
        <v>150</v>
      </c>
      <c r="E18" s="86">
        <f t="shared" si="2"/>
        <v>0</v>
      </c>
      <c r="F18" s="86">
        <f>SUM(-C18*100*B18)</f>
        <v>0</v>
      </c>
      <c r="G18" s="86">
        <f>SUM(-5.5*130*B18)</f>
        <v>0</v>
      </c>
      <c r="H18" s="86">
        <f t="shared" si="3"/>
        <v>0</v>
      </c>
    </row>
    <row r="19" spans="1:17" x14ac:dyDescent="0.25">
      <c r="A19" t="s">
        <v>265</v>
      </c>
      <c r="B19">
        <v>1</v>
      </c>
      <c r="C19">
        <v>30</v>
      </c>
      <c r="D19" s="86">
        <v>550</v>
      </c>
      <c r="E19" s="86">
        <f t="shared" si="2"/>
        <v>16500</v>
      </c>
      <c r="F19" s="86">
        <f>SUM(-C19*10*8*B19)</f>
        <v>-2400</v>
      </c>
      <c r="G19" s="86">
        <v>-5000</v>
      </c>
      <c r="H19" s="86">
        <f t="shared" si="3"/>
        <v>9100</v>
      </c>
    </row>
    <row r="20" spans="1:17" x14ac:dyDescent="0.25">
      <c r="A20" t="s">
        <v>58</v>
      </c>
      <c r="B20" s="183">
        <v>1</v>
      </c>
      <c r="C20">
        <v>120</v>
      </c>
      <c r="D20" s="184">
        <v>220</v>
      </c>
      <c r="E20" s="86">
        <f t="shared" si="2"/>
        <v>26400</v>
      </c>
      <c r="F20" s="184">
        <f>SUM(-C20*95*B20)</f>
        <v>-11400</v>
      </c>
      <c r="G20" s="184">
        <f>SUM(-3*130*7*B20)</f>
        <v>-2730</v>
      </c>
      <c r="H20" s="86">
        <f t="shared" si="3"/>
        <v>12270</v>
      </c>
    </row>
    <row r="21" spans="1:17" x14ac:dyDescent="0.25">
      <c r="A21" t="s">
        <v>266</v>
      </c>
      <c r="B21" s="183">
        <v>1</v>
      </c>
      <c r="C21">
        <v>40</v>
      </c>
      <c r="D21" s="86">
        <v>1000</v>
      </c>
      <c r="E21" s="86">
        <f t="shared" si="2"/>
        <v>40000</v>
      </c>
      <c r="F21" s="86">
        <f>SUM(-C21*8*24*B21)</f>
        <v>-7680</v>
      </c>
      <c r="G21" s="86">
        <f>SUM(-18*500*B21)</f>
        <v>-9000</v>
      </c>
      <c r="H21" s="86">
        <f t="shared" si="3"/>
        <v>23320</v>
      </c>
    </row>
    <row r="22" spans="1:17" x14ac:dyDescent="0.25">
      <c r="A22" t="s">
        <v>267</v>
      </c>
      <c r="B22" s="183">
        <v>0</v>
      </c>
      <c r="C22">
        <v>10</v>
      </c>
      <c r="D22" s="86">
        <v>41</v>
      </c>
      <c r="E22" s="86">
        <f t="shared" si="2"/>
        <v>0</v>
      </c>
      <c r="F22" s="86">
        <f>SUM(-C22*8*B22)</f>
        <v>0</v>
      </c>
      <c r="G22" s="86">
        <f>SUM(-400*B22)</f>
        <v>0</v>
      </c>
      <c r="H22" s="86">
        <f t="shared" si="3"/>
        <v>0</v>
      </c>
    </row>
    <row r="23" spans="1:17" x14ac:dyDescent="0.25">
      <c r="A23" s="167" t="s">
        <v>268</v>
      </c>
      <c r="B23" s="168"/>
      <c r="C23" s="168"/>
      <c r="D23" s="169"/>
      <c r="E23" s="169">
        <f>SUM(E15:E22)</f>
        <v>125120</v>
      </c>
      <c r="F23" s="244">
        <f>SUM(F15:G22)</f>
        <v>-55345</v>
      </c>
      <c r="G23" s="244"/>
      <c r="H23" s="169">
        <f>SUM(H15:H22)</f>
        <v>69775</v>
      </c>
    </row>
    <row r="24" spans="1:17" x14ac:dyDescent="0.25">
      <c r="F24" s="170">
        <f>SUM(F15:F22)</f>
        <v>-30120</v>
      </c>
      <c r="G24" s="170">
        <f>SUM(G15:G22)</f>
        <v>-25225</v>
      </c>
    </row>
    <row r="25" spans="1:17" x14ac:dyDescent="0.25">
      <c r="A25" s="166" t="s">
        <v>281</v>
      </c>
      <c r="B25" s="166" t="s">
        <v>258</v>
      </c>
      <c r="C25" s="166"/>
      <c r="D25" s="166" t="s">
        <v>260</v>
      </c>
      <c r="E25" s="166" t="s">
        <v>68</v>
      </c>
      <c r="F25" s="166" t="s">
        <v>261</v>
      </c>
      <c r="G25" s="166"/>
      <c r="H25" s="166" t="s">
        <v>262</v>
      </c>
    </row>
    <row r="26" spans="1:17" x14ac:dyDescent="0.25">
      <c r="A26" t="s">
        <v>282</v>
      </c>
      <c r="B26" s="177">
        <v>400</v>
      </c>
      <c r="D26" s="86">
        <v>22</v>
      </c>
      <c r="E26" s="86">
        <f>SUM(D26*B26)</f>
        <v>8800</v>
      </c>
      <c r="F26" s="86">
        <v>-3280.7</v>
      </c>
      <c r="G26" s="86"/>
      <c r="H26" s="86">
        <f>SUM(E26+F26+G26)</f>
        <v>5519.3</v>
      </c>
    </row>
    <row r="27" spans="1:17" x14ac:dyDescent="0.25">
      <c r="A27" t="s">
        <v>283</v>
      </c>
      <c r="B27" s="177">
        <v>200</v>
      </c>
      <c r="D27" s="86">
        <v>40</v>
      </c>
      <c r="E27" s="86">
        <f>SUM(D27*B27)</f>
        <v>8000</v>
      </c>
      <c r="F27" s="86">
        <f>-200*5</f>
        <v>-1000</v>
      </c>
      <c r="G27" s="86"/>
      <c r="H27" s="86">
        <f>SUM(E27+F27+G27)</f>
        <v>7000</v>
      </c>
    </row>
    <row r="28" spans="1:17" x14ac:dyDescent="0.25">
      <c r="A28" s="167" t="s">
        <v>268</v>
      </c>
      <c r="B28" s="168"/>
      <c r="C28" s="168"/>
      <c r="D28" s="169"/>
      <c r="E28" s="169">
        <f>SUM(E26:E27)</f>
        <v>16800</v>
      </c>
      <c r="F28" s="244">
        <f>SUM(F26:F27)</f>
        <v>-4280.7</v>
      </c>
      <c r="G28" s="244"/>
      <c r="H28" s="169">
        <f>SUM(H26:H27)</f>
        <v>12519.3</v>
      </c>
    </row>
    <row r="29" spans="1:17" ht="29.25" customHeight="1" x14ac:dyDescent="0.25"/>
    <row r="30" spans="1:17" x14ac:dyDescent="0.25">
      <c r="A30" s="178">
        <v>2021</v>
      </c>
      <c r="J30" s="178">
        <v>2021</v>
      </c>
      <c r="K30" t="s">
        <v>296</v>
      </c>
    </row>
    <row r="31" spans="1:17" x14ac:dyDescent="0.25">
      <c r="A31" s="166" t="s">
        <v>257</v>
      </c>
      <c r="B31" s="166" t="s">
        <v>258</v>
      </c>
      <c r="C31" s="166" t="s">
        <v>259</v>
      </c>
      <c r="D31" s="166" t="s">
        <v>260</v>
      </c>
      <c r="E31" s="166" t="s">
        <v>68</v>
      </c>
      <c r="F31" s="166" t="s">
        <v>261</v>
      </c>
      <c r="G31" s="166" t="s">
        <v>54</v>
      </c>
      <c r="H31" s="166" t="s">
        <v>262</v>
      </c>
      <c r="J31" s="166" t="s">
        <v>257</v>
      </c>
      <c r="K31" s="166" t="s">
        <v>258</v>
      </c>
      <c r="L31" s="166" t="s">
        <v>259</v>
      </c>
      <c r="M31" s="166" t="s">
        <v>260</v>
      </c>
      <c r="N31" s="166" t="s">
        <v>68</v>
      </c>
      <c r="O31" s="166" t="s">
        <v>261</v>
      </c>
      <c r="P31" s="166" t="s">
        <v>54</v>
      </c>
      <c r="Q31" s="166" t="s">
        <v>262</v>
      </c>
    </row>
    <row r="32" spans="1:17" x14ac:dyDescent="0.25">
      <c r="A32" t="s">
        <v>30</v>
      </c>
      <c r="B32" s="209">
        <v>20</v>
      </c>
      <c r="C32" s="209">
        <v>15</v>
      </c>
      <c r="D32" s="210">
        <v>70</v>
      </c>
      <c r="E32" s="210">
        <f>SUM(C32*D32*B32)</f>
        <v>21000</v>
      </c>
      <c r="F32" s="210">
        <f>-B32*C32*8</f>
        <v>-2400</v>
      </c>
      <c r="G32" s="184">
        <f>-B32*700</f>
        <v>-14000</v>
      </c>
      <c r="H32" s="86">
        <f>SUM(E32+F32+G32)</f>
        <v>4600</v>
      </c>
      <c r="J32" t="s">
        <v>30</v>
      </c>
      <c r="K32" s="209">
        <v>20</v>
      </c>
      <c r="L32" s="209">
        <v>15</v>
      </c>
      <c r="M32" s="210">
        <v>70</v>
      </c>
      <c r="N32" s="210">
        <f>SUM(L32*M32*K32)</f>
        <v>21000</v>
      </c>
      <c r="O32" s="210">
        <f>-K32*L32*8</f>
        <v>-2400</v>
      </c>
      <c r="P32" s="210">
        <f>-10*700</f>
        <v>-7000</v>
      </c>
      <c r="Q32" s="86">
        <f>SUM(N32+O32+P32)</f>
        <v>11600</v>
      </c>
    </row>
    <row r="33" spans="1:17" x14ac:dyDescent="0.25">
      <c r="A33" t="s">
        <v>263</v>
      </c>
      <c r="B33" s="209">
        <v>1</v>
      </c>
      <c r="C33" s="209">
        <v>100</v>
      </c>
      <c r="D33" s="210">
        <v>154</v>
      </c>
      <c r="E33" s="210">
        <f t="shared" ref="E33:E39" si="4">SUM(C33*D33*B33)</f>
        <v>15400</v>
      </c>
      <c r="F33" s="184">
        <f>SUM(-C33*40*B33)</f>
        <v>-4000</v>
      </c>
      <c r="G33" s="184">
        <f>SUM(-5.5*400*B33)</f>
        <v>-2200</v>
      </c>
      <c r="H33" s="86">
        <f t="shared" ref="H33:H39" si="5">SUM(E33+F33+G33)</f>
        <v>9200</v>
      </c>
      <c r="J33" t="s">
        <v>263</v>
      </c>
      <c r="K33" s="209">
        <v>1</v>
      </c>
      <c r="L33" s="209">
        <v>100</v>
      </c>
      <c r="M33" s="210">
        <v>154</v>
      </c>
      <c r="N33" s="210">
        <f t="shared" ref="N33:N39" si="6">SUM(L33*M33*K33)</f>
        <v>15400</v>
      </c>
      <c r="O33" s="210">
        <f>SUM(-L33*60*K33)</f>
        <v>-6000</v>
      </c>
      <c r="P33" s="210">
        <f>SUM(-5.5*130*K33)</f>
        <v>-715</v>
      </c>
      <c r="Q33" s="86">
        <f t="shared" ref="Q33:Q39" si="7">SUM(N33+O33+P33)</f>
        <v>8685</v>
      </c>
    </row>
    <row r="34" spans="1:17" x14ac:dyDescent="0.25">
      <c r="A34" t="s">
        <v>293</v>
      </c>
      <c r="B34" s="209">
        <v>1</v>
      </c>
      <c r="C34" s="209">
        <v>70</v>
      </c>
      <c r="D34" s="210">
        <v>60</v>
      </c>
      <c r="E34" s="210">
        <f t="shared" si="4"/>
        <v>4200</v>
      </c>
      <c r="F34" s="210">
        <f>SUM(-C34*10*B34-400)</f>
        <v>-1100</v>
      </c>
      <c r="G34" s="184">
        <f>SUM(-5.5*400*B34)</f>
        <v>-2200</v>
      </c>
      <c r="H34" s="86">
        <f t="shared" si="5"/>
        <v>900</v>
      </c>
      <c r="J34" t="s">
        <v>293</v>
      </c>
      <c r="K34" s="209">
        <v>1</v>
      </c>
      <c r="L34" s="209">
        <v>70</v>
      </c>
      <c r="M34" s="210">
        <v>60</v>
      </c>
      <c r="N34" s="210">
        <f t="shared" si="6"/>
        <v>4200</v>
      </c>
      <c r="O34" s="210">
        <f>SUM(-L34*10*K34-400)</f>
        <v>-1100</v>
      </c>
      <c r="P34" s="210">
        <v>-1000</v>
      </c>
      <c r="Q34" s="86">
        <f t="shared" si="7"/>
        <v>2100</v>
      </c>
    </row>
    <row r="35" spans="1:17" x14ac:dyDescent="0.25">
      <c r="A35" t="s">
        <v>264</v>
      </c>
      <c r="B35" s="209">
        <v>0</v>
      </c>
      <c r="C35" s="209">
        <v>70</v>
      </c>
      <c r="D35" s="210">
        <v>150</v>
      </c>
      <c r="E35" s="210">
        <f t="shared" si="4"/>
        <v>0</v>
      </c>
      <c r="F35" s="210">
        <f>SUM(-C35*100*B35)</f>
        <v>0</v>
      </c>
      <c r="G35" s="210">
        <f>SUM(-5.5*130*B35)</f>
        <v>0</v>
      </c>
      <c r="H35" s="86">
        <f t="shared" si="5"/>
        <v>0</v>
      </c>
      <c r="J35" t="s">
        <v>264</v>
      </c>
      <c r="K35" s="209">
        <v>0</v>
      </c>
      <c r="L35" s="209">
        <v>70</v>
      </c>
      <c r="M35" s="210">
        <v>150</v>
      </c>
      <c r="N35" s="210">
        <f t="shared" si="6"/>
        <v>0</v>
      </c>
      <c r="O35" s="210">
        <f>SUM(-L35*100*K35)</f>
        <v>0</v>
      </c>
      <c r="P35" s="210">
        <f>SUM(-5.5*130*K35)</f>
        <v>0</v>
      </c>
      <c r="Q35" s="86">
        <f t="shared" si="7"/>
        <v>0</v>
      </c>
    </row>
    <row r="36" spans="1:17" x14ac:dyDescent="0.25">
      <c r="A36" t="s">
        <v>265</v>
      </c>
      <c r="B36" s="209">
        <v>1</v>
      </c>
      <c r="C36" s="209">
        <v>30</v>
      </c>
      <c r="D36" s="210">
        <v>550</v>
      </c>
      <c r="E36" s="210">
        <f t="shared" si="4"/>
        <v>16500</v>
      </c>
      <c r="F36" s="184">
        <f>SUM(-C36*10*4*B36)</f>
        <v>-1200</v>
      </c>
      <c r="G36" s="210">
        <v>-5000</v>
      </c>
      <c r="H36" s="86">
        <f t="shared" si="5"/>
        <v>10300</v>
      </c>
      <c r="J36" t="s">
        <v>265</v>
      </c>
      <c r="K36" s="209">
        <v>1</v>
      </c>
      <c r="L36" s="209">
        <v>30</v>
      </c>
      <c r="M36" s="210">
        <v>550</v>
      </c>
      <c r="N36" s="210">
        <f t="shared" si="6"/>
        <v>16500</v>
      </c>
      <c r="O36" s="210">
        <f>SUM(-L36*10*8*K36)</f>
        <v>-2400</v>
      </c>
      <c r="P36" s="210">
        <v>-5000</v>
      </c>
      <c r="Q36" s="86">
        <f t="shared" si="7"/>
        <v>9100</v>
      </c>
    </row>
    <row r="37" spans="1:17" x14ac:dyDescent="0.25">
      <c r="A37" t="s">
        <v>58</v>
      </c>
      <c r="B37" s="183">
        <v>1</v>
      </c>
      <c r="C37" s="209">
        <v>120</v>
      </c>
      <c r="D37" s="210">
        <v>220</v>
      </c>
      <c r="E37" s="210">
        <f t="shared" si="4"/>
        <v>26400</v>
      </c>
      <c r="F37" s="210">
        <f>SUM(-C37*55*B37)</f>
        <v>-6600</v>
      </c>
      <c r="G37" s="184">
        <f>SUM(-3*400*4*B37)</f>
        <v>-4800</v>
      </c>
      <c r="H37" s="86">
        <f t="shared" si="5"/>
        <v>15000</v>
      </c>
      <c r="J37" t="s">
        <v>58</v>
      </c>
      <c r="K37" s="209">
        <v>2</v>
      </c>
      <c r="L37" s="209">
        <v>120</v>
      </c>
      <c r="M37" s="210">
        <v>220</v>
      </c>
      <c r="N37" s="210">
        <f t="shared" si="6"/>
        <v>52800</v>
      </c>
      <c r="O37" s="210">
        <f>SUM(-L37*95*K37)</f>
        <v>-22800</v>
      </c>
      <c r="P37" s="210">
        <f>SUM(-3*130*7*K37)</f>
        <v>-5460</v>
      </c>
      <c r="Q37" s="86">
        <f t="shared" si="7"/>
        <v>24540</v>
      </c>
    </row>
    <row r="38" spans="1:17" x14ac:dyDescent="0.25">
      <c r="A38" t="s">
        <v>266</v>
      </c>
      <c r="B38" s="209">
        <v>2</v>
      </c>
      <c r="C38" s="209">
        <v>40</v>
      </c>
      <c r="D38" s="210">
        <v>1000</v>
      </c>
      <c r="E38" s="210">
        <f t="shared" si="4"/>
        <v>80000</v>
      </c>
      <c r="F38" s="184">
        <f>SUM(-C38*2*17*B38)</f>
        <v>-2720</v>
      </c>
      <c r="G38" s="210">
        <f>SUM(-17*500*B38)</f>
        <v>-17000</v>
      </c>
      <c r="H38" s="86">
        <f t="shared" si="5"/>
        <v>60280</v>
      </c>
      <c r="J38" t="s">
        <v>266</v>
      </c>
      <c r="K38" s="209">
        <v>2</v>
      </c>
      <c r="L38" s="209">
        <v>40</v>
      </c>
      <c r="M38" s="210">
        <v>1000</v>
      </c>
      <c r="N38" s="210">
        <f t="shared" si="6"/>
        <v>80000</v>
      </c>
      <c r="O38" s="210">
        <f>SUM(-L38*8*24*K38)</f>
        <v>-15360</v>
      </c>
      <c r="P38" s="210">
        <f>SUM(-18*500*K38)</f>
        <v>-18000</v>
      </c>
      <c r="Q38" s="86">
        <f t="shared" si="7"/>
        <v>46640</v>
      </c>
    </row>
    <row r="39" spans="1:17" x14ac:dyDescent="0.25">
      <c r="A39" t="s">
        <v>267</v>
      </c>
      <c r="B39" s="209">
        <v>0</v>
      </c>
      <c r="C39" s="209">
        <v>10</v>
      </c>
      <c r="D39" s="210">
        <v>41</v>
      </c>
      <c r="E39" s="210">
        <f t="shared" si="4"/>
        <v>0</v>
      </c>
      <c r="F39" s="210">
        <f>SUM(-C39*8*B39)</f>
        <v>0</v>
      </c>
      <c r="G39" s="210">
        <f>SUM(-400*B39)</f>
        <v>0</v>
      </c>
      <c r="H39" s="86">
        <f t="shared" si="5"/>
        <v>0</v>
      </c>
      <c r="J39" t="s">
        <v>267</v>
      </c>
      <c r="K39" s="209">
        <v>0</v>
      </c>
      <c r="L39" s="209">
        <v>10</v>
      </c>
      <c r="M39" s="210">
        <v>41</v>
      </c>
      <c r="N39" s="210">
        <f t="shared" si="6"/>
        <v>0</v>
      </c>
      <c r="O39" s="210">
        <f>SUM(-L39*8*K39)</f>
        <v>0</v>
      </c>
      <c r="P39" s="210">
        <f>SUM(-400*K39)</f>
        <v>0</v>
      </c>
      <c r="Q39" s="86">
        <f t="shared" si="7"/>
        <v>0</v>
      </c>
    </row>
    <row r="40" spans="1:17" x14ac:dyDescent="0.25">
      <c r="A40" s="167" t="s">
        <v>268</v>
      </c>
      <c r="B40" s="168"/>
      <c r="C40" s="168"/>
      <c r="D40" s="169"/>
      <c r="E40" s="169">
        <f>SUM(E32:E39)</f>
        <v>163500</v>
      </c>
      <c r="F40" s="244">
        <f>SUM(F32:G39)</f>
        <v>-63220</v>
      </c>
      <c r="G40" s="244"/>
      <c r="H40" s="169">
        <f>SUM(H32:H39)</f>
        <v>100280</v>
      </c>
      <c r="J40" s="167" t="s">
        <v>268</v>
      </c>
      <c r="K40" s="168"/>
      <c r="L40" s="168"/>
      <c r="M40" s="169"/>
      <c r="N40" s="169">
        <f>SUM(N32:N39)</f>
        <v>189900</v>
      </c>
      <c r="O40" s="244">
        <f>SUM(O32:P39)</f>
        <v>-87235</v>
      </c>
      <c r="P40" s="244"/>
      <c r="Q40" s="169">
        <f>SUM(Q32:Q39)</f>
        <v>102665</v>
      </c>
    </row>
    <row r="41" spans="1:17" x14ac:dyDescent="0.25">
      <c r="F41" s="170">
        <f>SUM(F32:F39)</f>
        <v>-18020</v>
      </c>
      <c r="G41" s="170">
        <f>SUM(G32:G39)</f>
        <v>-45200</v>
      </c>
    </row>
    <row r="42" spans="1:17" x14ac:dyDescent="0.25">
      <c r="A42" s="166" t="s">
        <v>281</v>
      </c>
      <c r="B42" s="166" t="s">
        <v>258</v>
      </c>
      <c r="C42" s="166"/>
      <c r="D42" s="166" t="s">
        <v>260</v>
      </c>
      <c r="E42" s="166" t="s">
        <v>68</v>
      </c>
      <c r="F42" s="166" t="s">
        <v>261</v>
      </c>
      <c r="G42" s="166"/>
      <c r="H42" s="166" t="s">
        <v>262</v>
      </c>
    </row>
    <row r="43" spans="1:17" x14ac:dyDescent="0.25">
      <c r="A43" t="s">
        <v>282</v>
      </c>
      <c r="B43" s="177">
        <v>300</v>
      </c>
      <c r="D43" s="86">
        <v>22</v>
      </c>
      <c r="E43" s="86">
        <f>SUM(D43*B43)</f>
        <v>6600</v>
      </c>
      <c r="F43" s="86">
        <v>-3280.7</v>
      </c>
      <c r="G43" s="86"/>
      <c r="H43" s="86">
        <f>SUM(E43+F43+G43)</f>
        <v>3319.3</v>
      </c>
    </row>
    <row r="44" spans="1:17" x14ac:dyDescent="0.25">
      <c r="A44" t="s">
        <v>283</v>
      </c>
      <c r="B44" s="177">
        <v>200</v>
      </c>
      <c r="D44" s="86">
        <v>40</v>
      </c>
      <c r="E44" s="86">
        <f>SUM(D44*B44)</f>
        <v>8000</v>
      </c>
      <c r="F44" s="86">
        <f>-200*5</f>
        <v>-1000</v>
      </c>
      <c r="G44" s="86"/>
      <c r="H44" s="86">
        <f>SUM(E44+F44+G44)</f>
        <v>7000</v>
      </c>
    </row>
    <row r="45" spans="1:17" x14ac:dyDescent="0.25">
      <c r="A45" s="167" t="s">
        <v>268</v>
      </c>
      <c r="B45" s="168"/>
      <c r="C45" s="168"/>
      <c r="D45" s="169"/>
      <c r="E45" s="169">
        <f>SUM(E43:E44)</f>
        <v>14600</v>
      </c>
      <c r="F45" s="169">
        <f>SUM(F43:F44)</f>
        <v>-4280.7</v>
      </c>
      <c r="G45" s="169"/>
      <c r="H45" s="169">
        <f>SUM(H43:H44)</f>
        <v>10319.299999999999</v>
      </c>
    </row>
    <row r="46" spans="1:17" ht="30.75" customHeight="1" x14ac:dyDescent="0.25"/>
    <row r="47" spans="1:17" x14ac:dyDescent="0.25">
      <c r="A47" s="178">
        <v>2022</v>
      </c>
    </row>
    <row r="48" spans="1:17" x14ac:dyDescent="0.25">
      <c r="A48" s="166" t="s">
        <v>257</v>
      </c>
      <c r="B48" s="166" t="s">
        <v>258</v>
      </c>
      <c r="C48" s="166" t="s">
        <v>259</v>
      </c>
      <c r="D48" s="166" t="s">
        <v>260</v>
      </c>
      <c r="E48" s="166" t="s">
        <v>68</v>
      </c>
      <c r="F48" s="166" t="s">
        <v>305</v>
      </c>
      <c r="G48" s="166" t="s">
        <v>304</v>
      </c>
      <c r="H48" s="166" t="s">
        <v>54</v>
      </c>
      <c r="I48" s="166" t="s">
        <v>262</v>
      </c>
    </row>
    <row r="49" spans="1:9" x14ac:dyDescent="0.25">
      <c r="A49" t="s">
        <v>30</v>
      </c>
      <c r="B49" s="209">
        <v>20</v>
      </c>
      <c r="C49" s="209">
        <v>15</v>
      </c>
      <c r="D49" s="210">
        <v>75</v>
      </c>
      <c r="E49" s="210">
        <f>SUM(C49*D49*B49)</f>
        <v>22500</v>
      </c>
      <c r="F49" s="210">
        <f>-B49*C49*9</f>
        <v>-2700</v>
      </c>
      <c r="G49" s="210"/>
      <c r="H49" s="210">
        <f>-B49*800</f>
        <v>-16000</v>
      </c>
      <c r="I49" s="86">
        <f t="shared" ref="I49:I55" si="8">SUM(E49+F49+H49)</f>
        <v>3800</v>
      </c>
    </row>
    <row r="50" spans="1:9" x14ac:dyDescent="0.25">
      <c r="A50" t="s">
        <v>302</v>
      </c>
      <c r="B50" s="209">
        <v>1</v>
      </c>
      <c r="C50" s="209">
        <v>70</v>
      </c>
      <c r="D50" s="210">
        <v>115</v>
      </c>
      <c r="E50" s="210">
        <f t="shared" ref="E50:E55" si="9">SUM(C50*D50*B50)</f>
        <v>8050</v>
      </c>
      <c r="F50" s="210">
        <f>SUM(-C50*16*B50)</f>
        <v>-1120</v>
      </c>
      <c r="G50" s="210">
        <v>-1000</v>
      </c>
      <c r="H50" s="210">
        <f>SUM(-5*400*B50)</f>
        <v>-2000</v>
      </c>
      <c r="I50" s="86">
        <f t="shared" si="8"/>
        <v>4930</v>
      </c>
    </row>
    <row r="51" spans="1:9" x14ac:dyDescent="0.25">
      <c r="A51" t="s">
        <v>303</v>
      </c>
      <c r="B51" s="209">
        <v>1</v>
      </c>
      <c r="C51" s="209">
        <v>70</v>
      </c>
      <c r="D51" s="210">
        <v>115</v>
      </c>
      <c r="E51" s="210">
        <f t="shared" si="9"/>
        <v>8050</v>
      </c>
      <c r="F51" s="210">
        <f>SUM(-C51*16*B51)</f>
        <v>-1120</v>
      </c>
      <c r="G51" s="210">
        <v>-1000</v>
      </c>
      <c r="H51" s="210">
        <f>SUM(-5*400*B51)</f>
        <v>-2000</v>
      </c>
      <c r="I51" s="86">
        <f t="shared" si="8"/>
        <v>4930</v>
      </c>
    </row>
    <row r="52" spans="1:9" x14ac:dyDescent="0.25">
      <c r="A52" t="s">
        <v>264</v>
      </c>
      <c r="B52" s="209">
        <v>0</v>
      </c>
      <c r="C52" s="209">
        <v>0</v>
      </c>
      <c r="D52" s="210">
        <v>0</v>
      </c>
      <c r="E52" s="210">
        <f t="shared" si="9"/>
        <v>0</v>
      </c>
      <c r="F52" s="210">
        <f>SUM(-C52*100*B52)</f>
        <v>0</v>
      </c>
      <c r="G52" s="210"/>
      <c r="H52" s="210">
        <f>SUM(-5.5*130*B52)</f>
        <v>0</v>
      </c>
      <c r="I52" s="86">
        <f t="shared" si="8"/>
        <v>0</v>
      </c>
    </row>
    <row r="53" spans="1:9" x14ac:dyDescent="0.25">
      <c r="A53" t="s">
        <v>265</v>
      </c>
      <c r="B53" s="209">
        <v>1</v>
      </c>
      <c r="C53" s="209">
        <v>30</v>
      </c>
      <c r="D53" s="210">
        <v>550</v>
      </c>
      <c r="E53" s="210">
        <f t="shared" si="9"/>
        <v>16500</v>
      </c>
      <c r="F53" s="210">
        <f>SUM(-C53*12*4*B53)</f>
        <v>-1440</v>
      </c>
      <c r="G53" s="210"/>
      <c r="H53" s="210">
        <v>-5000</v>
      </c>
      <c r="I53" s="86">
        <f t="shared" si="8"/>
        <v>10060</v>
      </c>
    </row>
    <row r="54" spans="1:9" x14ac:dyDescent="0.25">
      <c r="A54" t="s">
        <v>58</v>
      </c>
      <c r="B54" s="209">
        <v>2</v>
      </c>
      <c r="C54" s="209">
        <v>120</v>
      </c>
      <c r="D54" s="210">
        <v>220</v>
      </c>
      <c r="E54" s="210">
        <f t="shared" si="9"/>
        <v>52800</v>
      </c>
      <c r="F54" s="210">
        <f>SUM(-C54*55*B54)</f>
        <v>-13200</v>
      </c>
      <c r="G54" s="210">
        <v>-1800</v>
      </c>
      <c r="H54" s="210">
        <f>SUM(-400*6*B54)</f>
        <v>-4800</v>
      </c>
      <c r="I54" s="86">
        <f t="shared" si="8"/>
        <v>34800</v>
      </c>
    </row>
    <row r="55" spans="1:9" x14ac:dyDescent="0.25">
      <c r="A55" t="s">
        <v>266</v>
      </c>
      <c r="B55" s="209">
        <v>2</v>
      </c>
      <c r="C55" s="209">
        <v>40</v>
      </c>
      <c r="D55" s="210">
        <v>1000</v>
      </c>
      <c r="E55" s="210">
        <f t="shared" si="9"/>
        <v>80000</v>
      </c>
      <c r="F55" s="210">
        <f>SUM(-C55*2*17*B55)</f>
        <v>-2720</v>
      </c>
      <c r="G55" s="210"/>
      <c r="H55" s="210">
        <f>SUM(-17*500*B55)</f>
        <v>-17000</v>
      </c>
      <c r="I55" s="86">
        <f t="shared" si="8"/>
        <v>60280</v>
      </c>
    </row>
    <row r="56" spans="1:9" x14ac:dyDescent="0.25">
      <c r="A56" s="167" t="s">
        <v>268</v>
      </c>
      <c r="B56" s="168"/>
      <c r="C56" s="168"/>
      <c r="D56" s="169"/>
      <c r="E56" s="169">
        <f>SUM(E49:E55)</f>
        <v>187900</v>
      </c>
      <c r="F56" s="169">
        <f>SUM(F49:F55)</f>
        <v>-22300</v>
      </c>
      <c r="G56" s="169">
        <f>SUM(G49:G55)</f>
        <v>-3800</v>
      </c>
      <c r="H56" s="169">
        <f>SUM(H49:H55)</f>
        <v>-46800</v>
      </c>
      <c r="I56" s="169">
        <f>SUM(I49:I55)</f>
        <v>118800</v>
      </c>
    </row>
    <row r="57" spans="1:9" x14ac:dyDescent="0.25">
      <c r="F57" s="170"/>
      <c r="G57" s="170">
        <f>SUM(F56:H56)</f>
        <v>-72900</v>
      </c>
    </row>
    <row r="58" spans="1:9" x14ac:dyDescent="0.25">
      <c r="F58" s="170"/>
      <c r="G58" s="170"/>
    </row>
    <row r="59" spans="1:9" x14ac:dyDescent="0.25">
      <c r="A59" s="166" t="s">
        <v>281</v>
      </c>
      <c r="B59" s="166" t="s">
        <v>258</v>
      </c>
      <c r="C59" s="166"/>
      <c r="D59" s="166" t="s">
        <v>260</v>
      </c>
      <c r="E59" s="166" t="s">
        <v>68</v>
      </c>
      <c r="F59" s="166" t="s">
        <v>261</v>
      </c>
      <c r="G59" s="166"/>
      <c r="H59" s="166" t="s">
        <v>262</v>
      </c>
    </row>
    <row r="60" spans="1:9" x14ac:dyDescent="0.25">
      <c r="A60" t="s">
        <v>282</v>
      </c>
      <c r="B60" s="177">
        <v>200</v>
      </c>
      <c r="D60" s="86">
        <v>9</v>
      </c>
      <c r="E60" s="86">
        <f>SUM(D60*B60)</f>
        <v>1800</v>
      </c>
      <c r="F60" s="86">
        <v>-3280.7</v>
      </c>
      <c r="G60" s="86"/>
      <c r="H60" s="86">
        <f>SUM(E60+F60+G60)</f>
        <v>-1480.6999999999998</v>
      </c>
    </row>
    <row r="61" spans="1:9" x14ac:dyDescent="0.25">
      <c r="A61" t="s">
        <v>283</v>
      </c>
      <c r="B61" s="177">
        <v>200</v>
      </c>
      <c r="D61" s="86">
        <v>40</v>
      </c>
      <c r="E61" s="86">
        <f>SUM(D61*B61)</f>
        <v>8000</v>
      </c>
      <c r="F61" s="86">
        <f>-200*5</f>
        <v>-1000</v>
      </c>
      <c r="G61" s="86"/>
      <c r="H61" s="86">
        <f>SUM(E61+F61+G61)</f>
        <v>7000</v>
      </c>
    </row>
    <row r="62" spans="1:9" x14ac:dyDescent="0.25">
      <c r="A62" s="167" t="s">
        <v>268</v>
      </c>
      <c r="B62" s="168"/>
      <c r="C62" s="168"/>
      <c r="D62" s="169"/>
      <c r="E62" s="169">
        <f>SUM(E60:E61)</f>
        <v>9800</v>
      </c>
      <c r="F62" s="169">
        <f>SUM(F60:F61)</f>
        <v>-4280.7</v>
      </c>
      <c r="G62" s="169"/>
      <c r="H62" s="169">
        <f>SUM(H60:H61)</f>
        <v>5519.3</v>
      </c>
    </row>
    <row r="63" spans="1:9" ht="36.75" customHeight="1" x14ac:dyDescent="0.25"/>
    <row r="64" spans="1:9" x14ac:dyDescent="0.25">
      <c r="A64" s="178">
        <v>2023</v>
      </c>
    </row>
    <row r="65" spans="1:9" x14ac:dyDescent="0.25">
      <c r="A65" s="166" t="s">
        <v>257</v>
      </c>
      <c r="B65" s="166" t="s">
        <v>258</v>
      </c>
      <c r="C65" s="166" t="s">
        <v>259</v>
      </c>
      <c r="D65" s="166" t="s">
        <v>260</v>
      </c>
      <c r="E65" s="166" t="s">
        <v>68</v>
      </c>
      <c r="F65" s="166" t="s">
        <v>305</v>
      </c>
      <c r="G65" s="166" t="s">
        <v>304</v>
      </c>
      <c r="H65" s="166" t="s">
        <v>54</v>
      </c>
      <c r="I65" s="166" t="s">
        <v>262</v>
      </c>
    </row>
    <row r="66" spans="1:9" x14ac:dyDescent="0.25">
      <c r="A66" t="s">
        <v>30</v>
      </c>
      <c r="B66" s="209">
        <v>20</v>
      </c>
      <c r="C66" s="209">
        <v>35</v>
      </c>
      <c r="D66" s="210">
        <v>75</v>
      </c>
      <c r="E66" s="210">
        <f>SUM(C66*D66*B66)</f>
        <v>52500</v>
      </c>
      <c r="F66" s="210">
        <f>-B66*C66*5</f>
        <v>-3500</v>
      </c>
      <c r="G66" s="210"/>
      <c r="H66" s="210">
        <f>-B66*800</f>
        <v>-16000</v>
      </c>
      <c r="I66" s="86">
        <f t="shared" ref="I66:I71" si="10">SUM(E66+F66+H66)</f>
        <v>33000</v>
      </c>
    </row>
    <row r="67" spans="1:9" x14ac:dyDescent="0.25">
      <c r="A67" t="s">
        <v>125</v>
      </c>
      <c r="B67" s="209">
        <v>5</v>
      </c>
      <c r="C67" s="209">
        <v>70</v>
      </c>
      <c r="D67" s="210">
        <v>115</v>
      </c>
      <c r="E67" s="210">
        <f t="shared" ref="E67:E71" si="11">SUM(C67*D67*B67)</f>
        <v>40250</v>
      </c>
      <c r="F67" s="210">
        <f>SUM(-C67*16*B67)</f>
        <v>-5600</v>
      </c>
      <c r="G67" s="210">
        <f>-500*B67</f>
        <v>-2500</v>
      </c>
      <c r="H67" s="210">
        <f>SUM(-5*400*B67)</f>
        <v>-10000</v>
      </c>
      <c r="I67" s="86">
        <f t="shared" si="10"/>
        <v>24650</v>
      </c>
    </row>
    <row r="68" spans="1:9" x14ac:dyDescent="0.25">
      <c r="A68" t="s">
        <v>264</v>
      </c>
      <c r="B68" s="209">
        <v>1</v>
      </c>
      <c r="C68" s="209">
        <v>70</v>
      </c>
      <c r="D68" s="210">
        <v>180</v>
      </c>
      <c r="E68" s="210">
        <f>SUM(C68*D68)</f>
        <v>12600</v>
      </c>
      <c r="F68" s="210">
        <f>SUM(-C68*26*B68)</f>
        <v>-1820</v>
      </c>
      <c r="G68" s="210">
        <v>-1000</v>
      </c>
      <c r="H68" s="210">
        <f>SUM(-5.5*130*B68)</f>
        <v>-715</v>
      </c>
      <c r="I68" s="86">
        <f>SUM(E68+F68+H68-G68)</f>
        <v>11065</v>
      </c>
    </row>
    <row r="69" spans="1:9" x14ac:dyDescent="0.25">
      <c r="A69" t="s">
        <v>265</v>
      </c>
      <c r="B69" s="209">
        <v>1</v>
      </c>
      <c r="C69" s="209">
        <v>25</v>
      </c>
      <c r="D69" s="210">
        <v>600</v>
      </c>
      <c r="E69" s="210">
        <f t="shared" si="11"/>
        <v>15000</v>
      </c>
      <c r="F69" s="210">
        <f>SUM(-C69*10*7*B69)</f>
        <v>-1750</v>
      </c>
      <c r="G69" s="210"/>
      <c r="H69" s="210">
        <v>-5000</v>
      </c>
      <c r="I69" s="86">
        <f t="shared" si="10"/>
        <v>8250</v>
      </c>
    </row>
    <row r="70" spans="1:9" x14ac:dyDescent="0.25">
      <c r="A70" t="s">
        <v>58</v>
      </c>
      <c r="B70" s="209">
        <v>2</v>
      </c>
      <c r="C70" s="209">
        <v>140</v>
      </c>
      <c r="D70" s="210">
        <v>220</v>
      </c>
      <c r="E70" s="210">
        <f>SUM(C70*D70)</f>
        <v>30800</v>
      </c>
      <c r="F70" s="210">
        <f>SUM(-C70*35*B70)</f>
        <v>-9800</v>
      </c>
      <c r="G70" s="210">
        <v>-1800</v>
      </c>
      <c r="H70" s="210">
        <f>SUM(-400*6*B70)</f>
        <v>-4800</v>
      </c>
      <c r="I70" s="86">
        <f t="shared" si="10"/>
        <v>16200</v>
      </c>
    </row>
    <row r="71" spans="1:9" x14ac:dyDescent="0.25">
      <c r="A71" t="s">
        <v>266</v>
      </c>
      <c r="B71" s="209">
        <v>2</v>
      </c>
      <c r="C71" s="209">
        <v>35</v>
      </c>
      <c r="D71" s="210">
        <v>1100</v>
      </c>
      <c r="E71" s="210">
        <f t="shared" si="11"/>
        <v>77000</v>
      </c>
      <c r="F71" s="210">
        <f>SUM(-C71*2*17*B71)</f>
        <v>-2380</v>
      </c>
      <c r="G71" s="210"/>
      <c r="H71" s="210">
        <f>SUM(-17*500*B71)</f>
        <v>-17000</v>
      </c>
      <c r="I71" s="86">
        <f t="shared" si="10"/>
        <v>57620</v>
      </c>
    </row>
    <row r="72" spans="1:9" x14ac:dyDescent="0.25">
      <c r="A72" s="167" t="s">
        <v>268</v>
      </c>
      <c r="B72" s="168"/>
      <c r="C72" s="168"/>
      <c r="D72" s="169"/>
      <c r="E72" s="169">
        <f>SUM(E66:E71)</f>
        <v>228150</v>
      </c>
      <c r="F72" s="169">
        <f>SUM(F66:F71)</f>
        <v>-24850</v>
      </c>
      <c r="G72" s="169">
        <f>SUM(G66:G71)</f>
        <v>-5300</v>
      </c>
      <c r="H72" s="169">
        <f>SUM(H66:H71)</f>
        <v>-53515</v>
      </c>
      <c r="I72" s="169">
        <f>SUM(I66:I71)</f>
        <v>150785</v>
      </c>
    </row>
    <row r="73" spans="1:9" x14ac:dyDescent="0.25">
      <c r="F73" s="170"/>
      <c r="G73" s="170">
        <f>SUM(F72:H72)</f>
        <v>-83665</v>
      </c>
    </row>
    <row r="74" spans="1:9" x14ac:dyDescent="0.25">
      <c r="F74" s="170"/>
      <c r="G74" s="170"/>
    </row>
    <row r="75" spans="1:9" x14ac:dyDescent="0.25">
      <c r="A75" s="166" t="s">
        <v>281</v>
      </c>
      <c r="B75" s="166" t="s">
        <v>258</v>
      </c>
      <c r="C75" s="166"/>
      <c r="D75" s="166" t="s">
        <v>260</v>
      </c>
      <c r="E75" s="166" t="s">
        <v>68</v>
      </c>
      <c r="F75" s="166" t="s">
        <v>261</v>
      </c>
      <c r="G75" s="166"/>
      <c r="H75" s="166" t="s">
        <v>262</v>
      </c>
    </row>
    <row r="76" spans="1:9" x14ac:dyDescent="0.25">
      <c r="A76" t="s">
        <v>282</v>
      </c>
      <c r="B76" s="177">
        <v>0</v>
      </c>
      <c r="D76" s="86">
        <v>9</v>
      </c>
      <c r="E76" s="86">
        <f>SUM(D76*B76)</f>
        <v>0</v>
      </c>
      <c r="F76" s="86">
        <v>-3280.7</v>
      </c>
      <c r="G76" s="86"/>
      <c r="H76" s="86">
        <f>SUM(E76+F76+G76)</f>
        <v>-3280.7</v>
      </c>
    </row>
    <row r="77" spans="1:9" x14ac:dyDescent="0.25">
      <c r="A77" t="s">
        <v>283</v>
      </c>
      <c r="B77" s="177">
        <v>180</v>
      </c>
      <c r="D77" s="86">
        <v>40</v>
      </c>
      <c r="E77" s="86">
        <f>SUM(D77*B77)</f>
        <v>7200</v>
      </c>
      <c r="F77" s="86">
        <f>-200*5</f>
        <v>-1000</v>
      </c>
      <c r="G77" s="86"/>
      <c r="H77" s="86">
        <f>SUM(E77+F77+G77)</f>
        <v>6200</v>
      </c>
    </row>
    <row r="78" spans="1:9" x14ac:dyDescent="0.25">
      <c r="A78" s="167" t="s">
        <v>268</v>
      </c>
      <c r="B78" s="168"/>
      <c r="C78" s="168"/>
      <c r="D78" s="169"/>
      <c r="E78" s="169">
        <f>SUM(E76:E77)</f>
        <v>7200</v>
      </c>
      <c r="F78" s="169">
        <f>SUM(F76:F77)</f>
        <v>-4280.7</v>
      </c>
      <c r="G78" s="169"/>
      <c r="H78" s="169">
        <f>SUM(H76:H77)</f>
        <v>2919.3</v>
      </c>
    </row>
    <row r="80" spans="1:9" x14ac:dyDescent="0.25">
      <c r="A80" s="178">
        <v>2024</v>
      </c>
    </row>
    <row r="81" spans="1:9" x14ac:dyDescent="0.25">
      <c r="A81" s="166" t="s">
        <v>257</v>
      </c>
      <c r="B81" s="166" t="s">
        <v>258</v>
      </c>
      <c r="C81" s="166" t="s">
        <v>259</v>
      </c>
      <c r="D81" s="166" t="s">
        <v>260</v>
      </c>
      <c r="E81" s="166" t="s">
        <v>68</v>
      </c>
      <c r="F81" s="166" t="s">
        <v>305</v>
      </c>
      <c r="G81" s="166" t="s">
        <v>304</v>
      </c>
      <c r="H81" s="166" t="s">
        <v>54</v>
      </c>
      <c r="I81" s="166" t="s">
        <v>262</v>
      </c>
    </row>
    <row r="82" spans="1:9" x14ac:dyDescent="0.25">
      <c r="A82" t="s">
        <v>30</v>
      </c>
      <c r="B82" s="209">
        <v>20</v>
      </c>
      <c r="C82" s="209">
        <v>35</v>
      </c>
      <c r="D82" s="210">
        <v>75</v>
      </c>
      <c r="E82" s="210">
        <f>SUM(C82*D82*B82)</f>
        <v>52500</v>
      </c>
      <c r="F82" s="210">
        <f>-B82*C82*5</f>
        <v>-3500</v>
      </c>
      <c r="G82" s="210"/>
      <c r="H82" s="210">
        <f>-B82*800</f>
        <v>-16000</v>
      </c>
      <c r="I82" s="86">
        <f t="shared" ref="I82:I83" si="12">SUM(E82+F82+H82)</f>
        <v>33000</v>
      </c>
    </row>
    <row r="83" spans="1:9" x14ac:dyDescent="0.25">
      <c r="A83" t="s">
        <v>125</v>
      </c>
      <c r="B83" s="209">
        <v>5</v>
      </c>
      <c r="C83" s="209">
        <v>70</v>
      </c>
      <c r="D83" s="210">
        <v>115</v>
      </c>
      <c r="E83" s="210">
        <f t="shared" ref="E83" si="13">SUM(C83*D83*B83)</f>
        <v>40250</v>
      </c>
      <c r="F83" s="210">
        <f>SUM(-C83*16*B83)</f>
        <v>-5600</v>
      </c>
      <c r="G83" s="210">
        <f>-500*B83</f>
        <v>-2500</v>
      </c>
      <c r="H83" s="210">
        <f>SUM(-5*400*B83)</f>
        <v>-10000</v>
      </c>
      <c r="I83" s="86">
        <f t="shared" si="12"/>
        <v>24650</v>
      </c>
    </row>
    <row r="84" spans="1:9" x14ac:dyDescent="0.25">
      <c r="A84" t="s">
        <v>264</v>
      </c>
      <c r="B84" s="209">
        <v>0</v>
      </c>
      <c r="C84" s="209">
        <v>0</v>
      </c>
      <c r="D84" s="210">
        <v>180</v>
      </c>
      <c r="E84" s="210">
        <f>SUM(C84*D84)</f>
        <v>0</v>
      </c>
      <c r="F84" s="210">
        <f>SUM(-C84*26*B84)</f>
        <v>0</v>
      </c>
      <c r="G84" s="210">
        <v>0</v>
      </c>
      <c r="H84" s="210">
        <f>SUM(-5.5*130*B84)</f>
        <v>0</v>
      </c>
      <c r="I84" s="86">
        <f>SUM(E84+F84+H84-G84)</f>
        <v>0</v>
      </c>
    </row>
    <row r="85" spans="1:9" x14ac:dyDescent="0.25">
      <c r="A85" t="s">
        <v>265</v>
      </c>
      <c r="B85" s="209">
        <v>1</v>
      </c>
      <c r="C85" s="209">
        <v>25</v>
      </c>
      <c r="D85" s="210">
        <v>600</v>
      </c>
      <c r="E85" s="210">
        <f t="shared" ref="E85" si="14">SUM(C85*D85*B85)</f>
        <v>15000</v>
      </c>
      <c r="F85" s="210">
        <f>SUM(-C85*10*7*B85)</f>
        <v>-1750</v>
      </c>
      <c r="G85" s="210"/>
      <c r="H85" s="210">
        <v>-5000</v>
      </c>
      <c r="I85" s="86">
        <f t="shared" ref="I85:I87" si="15">SUM(E85+F85+H85)</f>
        <v>8250</v>
      </c>
    </row>
    <row r="86" spans="1:9" x14ac:dyDescent="0.25">
      <c r="A86" t="s">
        <v>58</v>
      </c>
      <c r="B86" s="209">
        <v>2</v>
      </c>
      <c r="C86" s="209">
        <v>140</v>
      </c>
      <c r="D86" s="210">
        <v>220</v>
      </c>
      <c r="E86" s="210">
        <f>SUM(C86*D86)</f>
        <v>30800</v>
      </c>
      <c r="F86" s="210">
        <f>SUM(-C86*35*B86)</f>
        <v>-9800</v>
      </c>
      <c r="G86" s="210">
        <v>-1800</v>
      </c>
      <c r="H86" s="210">
        <f>SUM(-400*6*B86)</f>
        <v>-4800</v>
      </c>
      <c r="I86" s="86">
        <f t="shared" si="15"/>
        <v>16200</v>
      </c>
    </row>
    <row r="87" spans="1:9" x14ac:dyDescent="0.25">
      <c r="A87" t="s">
        <v>266</v>
      </c>
      <c r="B87" s="209">
        <v>2</v>
      </c>
      <c r="C87" s="209">
        <v>50</v>
      </c>
      <c r="D87" s="210">
        <v>1100</v>
      </c>
      <c r="E87" s="210">
        <f t="shared" ref="E87" si="16">SUM(C87*D87*B87)</f>
        <v>110000</v>
      </c>
      <c r="F87" s="210">
        <f>SUM(-C87*2*17*B87)</f>
        <v>-3400</v>
      </c>
      <c r="G87" s="210"/>
      <c r="H87" s="210">
        <f>SUM(-17*500*B87)</f>
        <v>-17000</v>
      </c>
      <c r="I87" s="86">
        <f t="shared" si="15"/>
        <v>89600</v>
      </c>
    </row>
    <row r="88" spans="1:9" x14ac:dyDescent="0.25">
      <c r="A88" s="167" t="s">
        <v>268</v>
      </c>
      <c r="B88" s="168"/>
      <c r="C88" s="168"/>
      <c r="D88" s="169"/>
      <c r="E88" s="169">
        <f>SUM(E82:E87)</f>
        <v>248550</v>
      </c>
      <c r="F88" s="169">
        <f>SUM(F82:F87)</f>
        <v>-24050</v>
      </c>
      <c r="G88" s="169">
        <f>SUM(G82:G87)</f>
        <v>-4300</v>
      </c>
      <c r="H88" s="169">
        <f>SUM(H82:H87)</f>
        <v>-52800</v>
      </c>
      <c r="I88" s="169">
        <f>SUM(I82:I87)</f>
        <v>171700</v>
      </c>
    </row>
    <row r="89" spans="1:9" x14ac:dyDescent="0.25">
      <c r="F89" s="170"/>
      <c r="G89" s="170">
        <f>SUM(F88:H88)</f>
        <v>-81150</v>
      </c>
    </row>
    <row r="90" spans="1:9" x14ac:dyDescent="0.25">
      <c r="F90" s="170"/>
      <c r="G90" s="170"/>
    </row>
    <row r="91" spans="1:9" x14ac:dyDescent="0.25">
      <c r="A91" s="166" t="s">
        <v>281</v>
      </c>
      <c r="B91" s="166" t="s">
        <v>258</v>
      </c>
      <c r="C91" s="166"/>
      <c r="D91" s="166" t="s">
        <v>260</v>
      </c>
      <c r="E91" s="166" t="s">
        <v>68</v>
      </c>
      <c r="F91" s="166" t="s">
        <v>261</v>
      </c>
      <c r="G91" s="166"/>
      <c r="H91" s="166" t="s">
        <v>262</v>
      </c>
    </row>
    <row r="92" spans="1:9" x14ac:dyDescent="0.25">
      <c r="A92" t="s">
        <v>282</v>
      </c>
      <c r="B92" s="177">
        <v>0</v>
      </c>
      <c r="D92" s="86">
        <v>0</v>
      </c>
      <c r="E92" s="86">
        <f>SUM(D92*B92)</f>
        <v>0</v>
      </c>
      <c r="F92" s="86">
        <v>0</v>
      </c>
      <c r="G92" s="86"/>
      <c r="H92" s="86">
        <f>SUM(E92+F92+G92)</f>
        <v>0</v>
      </c>
    </row>
    <row r="93" spans="1:9" x14ac:dyDescent="0.25">
      <c r="A93" t="s">
        <v>283</v>
      </c>
      <c r="B93" s="177">
        <v>180</v>
      </c>
      <c r="D93" s="86">
        <v>40</v>
      </c>
      <c r="E93" s="86">
        <f>SUM(D93*B93)</f>
        <v>7200</v>
      </c>
      <c r="F93" s="86">
        <f>-200*5</f>
        <v>-1000</v>
      </c>
      <c r="G93" s="86"/>
      <c r="H93" s="86">
        <f>SUM(E93+F93+G93)</f>
        <v>6200</v>
      </c>
    </row>
    <row r="94" spans="1:9" x14ac:dyDescent="0.25">
      <c r="A94" s="167" t="s">
        <v>268</v>
      </c>
      <c r="B94" s="168"/>
      <c r="C94" s="168"/>
      <c r="D94" s="169"/>
      <c r="E94" s="169">
        <f>SUM(E92:E93)</f>
        <v>7200</v>
      </c>
      <c r="F94" s="169">
        <f>SUM(F92:F93)</f>
        <v>-1000</v>
      </c>
      <c r="G94" s="169"/>
      <c r="H94" s="169">
        <f>SUM(H92:H93)</f>
        <v>6200</v>
      </c>
    </row>
    <row r="96" spans="1:9" x14ac:dyDescent="0.25">
      <c r="A96" s="178">
        <v>2025</v>
      </c>
    </row>
    <row r="97" spans="1:9" x14ac:dyDescent="0.25">
      <c r="A97" s="166" t="s">
        <v>257</v>
      </c>
      <c r="B97" s="166" t="s">
        <v>258</v>
      </c>
      <c r="C97" s="166" t="s">
        <v>259</v>
      </c>
      <c r="D97" s="166" t="s">
        <v>260</v>
      </c>
      <c r="E97" s="166" t="s">
        <v>68</v>
      </c>
      <c r="F97" s="166" t="s">
        <v>305</v>
      </c>
      <c r="G97" s="166" t="s">
        <v>304</v>
      </c>
      <c r="H97" s="166" t="s">
        <v>54</v>
      </c>
      <c r="I97" s="166" t="s">
        <v>262</v>
      </c>
    </row>
    <row r="98" spans="1:9" x14ac:dyDescent="0.25">
      <c r="A98" t="s">
        <v>30</v>
      </c>
      <c r="B98" s="209">
        <v>13</v>
      </c>
      <c r="C98" s="209">
        <v>50</v>
      </c>
      <c r="D98" s="210">
        <v>80</v>
      </c>
      <c r="E98" s="210">
        <f>SUM(C98*D98*B98)</f>
        <v>52000</v>
      </c>
      <c r="F98" s="210">
        <f>-B98*C98*5</f>
        <v>-3250</v>
      </c>
      <c r="G98" s="210"/>
      <c r="H98" s="210">
        <f>-B98*800</f>
        <v>-10400</v>
      </c>
      <c r="I98" s="86">
        <f t="shared" ref="I98" si="17">SUM(E98+F98+H98)</f>
        <v>38350</v>
      </c>
    </row>
    <row r="99" spans="1:9" x14ac:dyDescent="0.25">
      <c r="A99" t="s">
        <v>125</v>
      </c>
      <c r="B99" s="209">
        <v>3</v>
      </c>
      <c r="C99" s="209">
        <v>100</v>
      </c>
      <c r="D99" s="210">
        <v>115</v>
      </c>
      <c r="E99" s="210">
        <f t="shared" ref="E99" si="18">SUM(C99*D99*B99)</f>
        <v>34500</v>
      </c>
      <c r="F99" s="210">
        <f>SUM(-C99*16*B99)</f>
        <v>-4800</v>
      </c>
      <c r="G99" s="210">
        <f>-600*B99</f>
        <v>-1800</v>
      </c>
      <c r="H99" s="210">
        <f>SUM(-5*400*B99)</f>
        <v>-6000</v>
      </c>
      <c r="I99" s="86">
        <f>SUM(E99+F99+H99+G99)</f>
        <v>21900</v>
      </c>
    </row>
    <row r="100" spans="1:9" x14ac:dyDescent="0.25">
      <c r="A100" t="s">
        <v>265</v>
      </c>
      <c r="B100" s="209">
        <v>1</v>
      </c>
      <c r="C100" s="209">
        <v>25</v>
      </c>
      <c r="D100" s="210">
        <v>600</v>
      </c>
      <c r="E100" s="210">
        <f t="shared" ref="E100" si="19">SUM(C100*D100*B100)</f>
        <v>15000</v>
      </c>
      <c r="F100" s="210">
        <f>SUM(-C100*10*7*B100)</f>
        <v>-1750</v>
      </c>
      <c r="G100" s="210"/>
      <c r="H100" s="210">
        <v>-5000</v>
      </c>
      <c r="I100" s="86">
        <f t="shared" ref="I100:I102" si="20">SUM(E100+F100+H100)</f>
        <v>8250</v>
      </c>
    </row>
    <row r="101" spans="1:9" x14ac:dyDescent="0.25">
      <c r="A101" t="s">
        <v>58</v>
      </c>
      <c r="B101" s="209">
        <v>2</v>
      </c>
      <c r="C101" s="209">
        <v>140</v>
      </c>
      <c r="D101" s="210">
        <v>225</v>
      </c>
      <c r="E101" s="210">
        <f>SUM(C101*D101)</f>
        <v>31500</v>
      </c>
      <c r="F101" s="210">
        <f>SUM(-C101*35*B101)</f>
        <v>-9800</v>
      </c>
      <c r="G101" s="210">
        <v>-2000</v>
      </c>
      <c r="H101" s="210">
        <f>SUM(-400*6*B101)</f>
        <v>-4800</v>
      </c>
      <c r="I101" s="86">
        <f>SUM(E101+F101+H101+G101)</f>
        <v>14900</v>
      </c>
    </row>
    <row r="102" spans="1:9" x14ac:dyDescent="0.25">
      <c r="A102" t="s">
        <v>266</v>
      </c>
      <c r="B102" s="209">
        <v>2</v>
      </c>
      <c r="C102" s="209">
        <v>50</v>
      </c>
      <c r="D102" s="210">
        <v>1100</v>
      </c>
      <c r="E102" s="210">
        <f t="shared" ref="E102" si="21">SUM(C102*D102*B102)</f>
        <v>110000</v>
      </c>
      <c r="F102" s="210">
        <f>SUM(-C102*2*17*B102)</f>
        <v>-3400</v>
      </c>
      <c r="G102" s="210"/>
      <c r="H102" s="210">
        <f>SUM(-17*500*B102)</f>
        <v>-17000</v>
      </c>
      <c r="I102" s="86">
        <f t="shared" si="20"/>
        <v>89600</v>
      </c>
    </row>
    <row r="103" spans="1:9" x14ac:dyDescent="0.25">
      <c r="A103" s="167" t="s">
        <v>268</v>
      </c>
      <c r="B103" s="168"/>
      <c r="C103" s="168"/>
      <c r="D103" s="169"/>
      <c r="E103" s="169">
        <f>SUM(E98:E102)</f>
        <v>243000</v>
      </c>
      <c r="F103" s="169">
        <f>SUM(F98:F102)</f>
        <v>-23000</v>
      </c>
      <c r="G103" s="169">
        <f>SUM(G98:G102)</f>
        <v>-3800</v>
      </c>
      <c r="H103" s="169">
        <f>SUM(H98:H102)</f>
        <v>-43200</v>
      </c>
      <c r="I103" s="169">
        <f>SUM(I98:I102)</f>
        <v>173000</v>
      </c>
    </row>
    <row r="104" spans="1:9" x14ac:dyDescent="0.25">
      <c r="F104" s="170"/>
      <c r="G104" s="170">
        <f>SUM(F103:H103)</f>
        <v>-70000</v>
      </c>
    </row>
    <row r="105" spans="1:9" x14ac:dyDescent="0.25">
      <c r="F105" s="170"/>
      <c r="G105" s="170"/>
    </row>
    <row r="106" spans="1:9" x14ac:dyDescent="0.25">
      <c r="A106" s="166" t="s">
        <v>281</v>
      </c>
      <c r="B106" s="166" t="s">
        <v>258</v>
      </c>
      <c r="C106" s="166"/>
      <c r="D106" s="166" t="s">
        <v>260</v>
      </c>
      <c r="E106" s="166" t="s">
        <v>68</v>
      </c>
      <c r="F106" s="166" t="s">
        <v>261</v>
      </c>
      <c r="G106" s="166"/>
      <c r="H106" s="166" t="s">
        <v>262</v>
      </c>
    </row>
    <row r="107" spans="1:9" x14ac:dyDescent="0.25">
      <c r="A107" t="s">
        <v>282</v>
      </c>
      <c r="B107" s="177">
        <v>0</v>
      </c>
      <c r="D107" s="86">
        <v>0</v>
      </c>
      <c r="E107" s="86">
        <f>SUM(D107*B107)</f>
        <v>0</v>
      </c>
      <c r="F107" s="86">
        <v>0</v>
      </c>
      <c r="G107" s="86"/>
      <c r="H107" s="86">
        <f>SUM(E107+F107+G107)</f>
        <v>0</v>
      </c>
    </row>
    <row r="108" spans="1:9" x14ac:dyDescent="0.25">
      <c r="A108" t="s">
        <v>283</v>
      </c>
      <c r="B108" s="177">
        <v>180</v>
      </c>
      <c r="D108" s="86">
        <v>45</v>
      </c>
      <c r="E108" s="86">
        <f>SUM(D108*B108)</f>
        <v>8100</v>
      </c>
      <c r="F108" s="86">
        <f>-B108*6.5</f>
        <v>-1170</v>
      </c>
      <c r="G108" s="86"/>
      <c r="H108" s="86">
        <f>SUM(E108+F108+G108)</f>
        <v>6930</v>
      </c>
    </row>
    <row r="109" spans="1:9" x14ac:dyDescent="0.25">
      <c r="A109" s="167" t="s">
        <v>268</v>
      </c>
      <c r="B109" s="168"/>
      <c r="C109" s="168"/>
      <c r="D109" s="169"/>
      <c r="E109" s="169">
        <f>SUM(E107:E108)</f>
        <v>8100</v>
      </c>
      <c r="F109" s="169">
        <f>SUM(F107:F108)</f>
        <v>-1170</v>
      </c>
      <c r="G109" s="169"/>
      <c r="H109" s="169">
        <f>SUM(H107:H108)</f>
        <v>6930</v>
      </c>
    </row>
  </sheetData>
  <mergeCells count="5">
    <mergeCell ref="F10:G10"/>
    <mergeCell ref="F23:G23"/>
    <mergeCell ref="F28:G28"/>
    <mergeCell ref="F40:G40"/>
    <mergeCell ref="O40:P4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57"/>
  <sheetViews>
    <sheetView zoomScale="85" zoomScaleNormal="85" workbookViewId="0">
      <pane xSplit="21" ySplit="1" topLeftCell="V226" activePane="bottomRight" state="frozen"/>
      <selection pane="topRight" activeCell="V1" sqref="V1"/>
      <selection pane="bottomLeft" activeCell="A2" sqref="A2"/>
      <selection pane="bottomRight" activeCell="AK251" sqref="AK251"/>
    </sheetView>
  </sheetViews>
  <sheetFormatPr defaultColWidth="11.5703125" defaultRowHeight="15" x14ac:dyDescent="0.25"/>
  <cols>
    <col min="1" max="1" width="9.140625" style="8" customWidth="1"/>
    <col min="2" max="2" width="38" customWidth="1"/>
    <col min="3" max="3" width="25.140625" customWidth="1"/>
    <col min="4" max="4" width="5.140625" style="58" customWidth="1"/>
    <col min="5" max="6" width="11.5703125" hidden="1" customWidth="1"/>
    <col min="7" max="7" width="2.85546875" hidden="1" customWidth="1"/>
    <col min="8" max="9" width="7.140625" style="57" hidden="1" customWidth="1"/>
    <col min="10" max="11" width="8.7109375" style="56" hidden="1" customWidth="1"/>
    <col min="12" max="16" width="9.7109375" style="56" hidden="1" customWidth="1"/>
    <col min="17" max="20" width="8.7109375" style="56" hidden="1" customWidth="1"/>
    <col min="21" max="21" width="9.7109375" style="56" hidden="1" customWidth="1"/>
    <col min="22" max="22" width="14.85546875" customWidth="1"/>
    <col min="23" max="23" width="1.85546875" customWidth="1"/>
    <col min="24" max="24" width="1.5703125" customWidth="1"/>
    <col min="25" max="25" width="15.28515625" customWidth="1"/>
    <col min="26" max="26" width="2.28515625" customWidth="1"/>
    <col min="27" max="27" width="11.5703125" style="139"/>
    <col min="28" max="28" width="2.7109375" customWidth="1"/>
    <col min="29" max="29" width="11.7109375" customWidth="1"/>
    <col min="30" max="30" width="2.7109375" style="8" customWidth="1"/>
    <col min="31" max="31" width="11.5703125" style="139"/>
    <col min="32" max="32" width="2.7109375" style="139" customWidth="1"/>
    <col min="33" max="33" width="11.5703125" style="139"/>
    <col min="34" max="34" width="2.7109375" customWidth="1"/>
    <col min="35" max="35" width="11.5703125" style="139" customWidth="1"/>
    <col min="36" max="36" width="2.7109375" customWidth="1"/>
    <col min="37" max="37" width="11.5703125" style="139" customWidth="1"/>
    <col min="38" max="38" width="2.7109375" customWidth="1"/>
    <col min="39" max="39" width="11.5703125" style="139" customWidth="1"/>
    <col min="40" max="40" width="2.7109375" customWidth="1"/>
    <col min="41" max="41" width="11.5703125" style="139" customWidth="1"/>
    <col min="42" max="42" width="2.7109375" customWidth="1"/>
    <col min="43" max="43" width="11.5703125" style="139"/>
    <col min="44" max="44" width="2.7109375" customWidth="1"/>
    <col min="45" max="45" width="13.7109375" customWidth="1"/>
    <col min="260" max="260" width="9.140625" customWidth="1"/>
    <col min="261" max="264" width="10" customWidth="1"/>
    <col min="265" max="265" width="30.7109375" customWidth="1"/>
    <col min="266" max="266" width="5.140625" customWidth="1"/>
    <col min="269" max="269" width="2.85546875" customWidth="1"/>
    <col min="270" max="271" width="7.140625" customWidth="1"/>
    <col min="272" max="273" width="8.7109375" customWidth="1"/>
    <col min="274" max="278" width="9.7109375" customWidth="1"/>
    <col min="279" max="282" width="8.7109375" customWidth="1"/>
    <col min="283" max="283" width="9.7109375" customWidth="1"/>
    <col min="516" max="516" width="9.140625" customWidth="1"/>
    <col min="517" max="520" width="10" customWidth="1"/>
    <col min="521" max="521" width="30.7109375" customWidth="1"/>
    <col min="522" max="522" width="5.140625" customWidth="1"/>
    <col min="525" max="525" width="2.85546875" customWidth="1"/>
    <col min="526" max="527" width="7.140625" customWidth="1"/>
    <col min="528" max="529" width="8.7109375" customWidth="1"/>
    <col min="530" max="534" width="9.7109375" customWidth="1"/>
    <col min="535" max="538" width="8.7109375" customWidth="1"/>
    <col min="539" max="539" width="9.7109375" customWidth="1"/>
    <col min="772" max="772" width="9.140625" customWidth="1"/>
    <col min="773" max="776" width="10" customWidth="1"/>
    <col min="777" max="777" width="30.7109375" customWidth="1"/>
    <col min="778" max="778" width="5.140625" customWidth="1"/>
    <col min="781" max="781" width="2.85546875" customWidth="1"/>
    <col min="782" max="783" width="7.140625" customWidth="1"/>
    <col min="784" max="785" width="8.7109375" customWidth="1"/>
    <col min="786" max="790" width="9.7109375" customWidth="1"/>
    <col min="791" max="794" width="8.7109375" customWidth="1"/>
    <col min="795" max="795" width="9.7109375" customWidth="1"/>
    <col min="1028" max="1028" width="9.140625" customWidth="1"/>
    <col min="1029" max="1032" width="10" customWidth="1"/>
    <col min="1033" max="1033" width="30.7109375" customWidth="1"/>
    <col min="1034" max="1034" width="5.140625" customWidth="1"/>
    <col min="1037" max="1037" width="2.85546875" customWidth="1"/>
    <col min="1038" max="1039" width="7.140625" customWidth="1"/>
    <col min="1040" max="1041" width="8.7109375" customWidth="1"/>
    <col min="1042" max="1046" width="9.7109375" customWidth="1"/>
    <col min="1047" max="1050" width="8.7109375" customWidth="1"/>
    <col min="1051" max="1051" width="9.7109375" customWidth="1"/>
    <col min="1284" max="1284" width="9.140625" customWidth="1"/>
    <col min="1285" max="1288" width="10" customWidth="1"/>
    <col min="1289" max="1289" width="30.7109375" customWidth="1"/>
    <col min="1290" max="1290" width="5.140625" customWidth="1"/>
    <col min="1293" max="1293" width="2.85546875" customWidth="1"/>
    <col min="1294" max="1295" width="7.140625" customWidth="1"/>
    <col min="1296" max="1297" width="8.7109375" customWidth="1"/>
    <col min="1298" max="1302" width="9.7109375" customWidth="1"/>
    <col min="1303" max="1306" width="8.7109375" customWidth="1"/>
    <col min="1307" max="1307" width="9.7109375" customWidth="1"/>
    <col min="1540" max="1540" width="9.140625" customWidth="1"/>
    <col min="1541" max="1544" width="10" customWidth="1"/>
    <col min="1545" max="1545" width="30.7109375" customWidth="1"/>
    <col min="1546" max="1546" width="5.140625" customWidth="1"/>
    <col min="1549" max="1549" width="2.85546875" customWidth="1"/>
    <col min="1550" max="1551" width="7.140625" customWidth="1"/>
    <col min="1552" max="1553" width="8.7109375" customWidth="1"/>
    <col min="1554" max="1558" width="9.7109375" customWidth="1"/>
    <col min="1559" max="1562" width="8.7109375" customWidth="1"/>
    <col min="1563" max="1563" width="9.7109375" customWidth="1"/>
    <col min="1796" max="1796" width="9.140625" customWidth="1"/>
    <col min="1797" max="1800" width="10" customWidth="1"/>
    <col min="1801" max="1801" width="30.7109375" customWidth="1"/>
    <col min="1802" max="1802" width="5.140625" customWidth="1"/>
    <col min="1805" max="1805" width="2.85546875" customWidth="1"/>
    <col min="1806" max="1807" width="7.140625" customWidth="1"/>
    <col min="1808" max="1809" width="8.7109375" customWidth="1"/>
    <col min="1810" max="1814" width="9.7109375" customWidth="1"/>
    <col min="1815" max="1818" width="8.7109375" customWidth="1"/>
    <col min="1819" max="1819" width="9.7109375" customWidth="1"/>
    <col min="2052" max="2052" width="9.140625" customWidth="1"/>
    <col min="2053" max="2056" width="10" customWidth="1"/>
    <col min="2057" max="2057" width="30.7109375" customWidth="1"/>
    <col min="2058" max="2058" width="5.140625" customWidth="1"/>
    <col min="2061" max="2061" width="2.85546875" customWidth="1"/>
    <col min="2062" max="2063" width="7.140625" customWidth="1"/>
    <col min="2064" max="2065" width="8.7109375" customWidth="1"/>
    <col min="2066" max="2070" width="9.7109375" customWidth="1"/>
    <col min="2071" max="2074" width="8.7109375" customWidth="1"/>
    <col min="2075" max="2075" width="9.7109375" customWidth="1"/>
    <col min="2308" max="2308" width="9.140625" customWidth="1"/>
    <col min="2309" max="2312" width="10" customWidth="1"/>
    <col min="2313" max="2313" width="30.7109375" customWidth="1"/>
    <col min="2314" max="2314" width="5.140625" customWidth="1"/>
    <col min="2317" max="2317" width="2.85546875" customWidth="1"/>
    <col min="2318" max="2319" width="7.140625" customWidth="1"/>
    <col min="2320" max="2321" width="8.7109375" customWidth="1"/>
    <col min="2322" max="2326" width="9.7109375" customWidth="1"/>
    <col min="2327" max="2330" width="8.7109375" customWidth="1"/>
    <col min="2331" max="2331" width="9.7109375" customWidth="1"/>
    <col min="2564" max="2564" width="9.140625" customWidth="1"/>
    <col min="2565" max="2568" width="10" customWidth="1"/>
    <col min="2569" max="2569" width="30.7109375" customWidth="1"/>
    <col min="2570" max="2570" width="5.140625" customWidth="1"/>
    <col min="2573" max="2573" width="2.85546875" customWidth="1"/>
    <col min="2574" max="2575" width="7.140625" customWidth="1"/>
    <col min="2576" max="2577" width="8.7109375" customWidth="1"/>
    <col min="2578" max="2582" width="9.7109375" customWidth="1"/>
    <col min="2583" max="2586" width="8.7109375" customWidth="1"/>
    <col min="2587" max="2587" width="9.7109375" customWidth="1"/>
    <col min="2820" max="2820" width="9.140625" customWidth="1"/>
    <col min="2821" max="2824" width="10" customWidth="1"/>
    <col min="2825" max="2825" width="30.7109375" customWidth="1"/>
    <col min="2826" max="2826" width="5.140625" customWidth="1"/>
    <col min="2829" max="2829" width="2.85546875" customWidth="1"/>
    <col min="2830" max="2831" width="7.140625" customWidth="1"/>
    <col min="2832" max="2833" width="8.7109375" customWidth="1"/>
    <col min="2834" max="2838" width="9.7109375" customWidth="1"/>
    <col min="2839" max="2842" width="8.7109375" customWidth="1"/>
    <col min="2843" max="2843" width="9.7109375" customWidth="1"/>
    <col min="3076" max="3076" width="9.140625" customWidth="1"/>
    <col min="3077" max="3080" width="10" customWidth="1"/>
    <col min="3081" max="3081" width="30.7109375" customWidth="1"/>
    <col min="3082" max="3082" width="5.140625" customWidth="1"/>
    <col min="3085" max="3085" width="2.85546875" customWidth="1"/>
    <col min="3086" max="3087" width="7.140625" customWidth="1"/>
    <col min="3088" max="3089" width="8.7109375" customWidth="1"/>
    <col min="3090" max="3094" width="9.7109375" customWidth="1"/>
    <col min="3095" max="3098" width="8.7109375" customWidth="1"/>
    <col min="3099" max="3099" width="9.7109375" customWidth="1"/>
    <col min="3332" max="3332" width="9.140625" customWidth="1"/>
    <col min="3333" max="3336" width="10" customWidth="1"/>
    <col min="3337" max="3337" width="30.7109375" customWidth="1"/>
    <col min="3338" max="3338" width="5.140625" customWidth="1"/>
    <col min="3341" max="3341" width="2.85546875" customWidth="1"/>
    <col min="3342" max="3343" width="7.140625" customWidth="1"/>
    <col min="3344" max="3345" width="8.7109375" customWidth="1"/>
    <col min="3346" max="3350" width="9.7109375" customWidth="1"/>
    <col min="3351" max="3354" width="8.7109375" customWidth="1"/>
    <col min="3355" max="3355" width="9.7109375" customWidth="1"/>
    <col min="3588" max="3588" width="9.140625" customWidth="1"/>
    <col min="3589" max="3592" width="10" customWidth="1"/>
    <col min="3593" max="3593" width="30.7109375" customWidth="1"/>
    <col min="3594" max="3594" width="5.140625" customWidth="1"/>
    <col min="3597" max="3597" width="2.85546875" customWidth="1"/>
    <col min="3598" max="3599" width="7.140625" customWidth="1"/>
    <col min="3600" max="3601" width="8.7109375" customWidth="1"/>
    <col min="3602" max="3606" width="9.7109375" customWidth="1"/>
    <col min="3607" max="3610" width="8.7109375" customWidth="1"/>
    <col min="3611" max="3611" width="9.7109375" customWidth="1"/>
    <col min="3844" max="3844" width="9.140625" customWidth="1"/>
    <col min="3845" max="3848" width="10" customWidth="1"/>
    <col min="3849" max="3849" width="30.7109375" customWidth="1"/>
    <col min="3850" max="3850" width="5.140625" customWidth="1"/>
    <col min="3853" max="3853" width="2.85546875" customWidth="1"/>
    <col min="3854" max="3855" width="7.140625" customWidth="1"/>
    <col min="3856" max="3857" width="8.7109375" customWidth="1"/>
    <col min="3858" max="3862" width="9.7109375" customWidth="1"/>
    <col min="3863" max="3866" width="8.7109375" customWidth="1"/>
    <col min="3867" max="3867" width="9.7109375" customWidth="1"/>
    <col min="4100" max="4100" width="9.140625" customWidth="1"/>
    <col min="4101" max="4104" width="10" customWidth="1"/>
    <col min="4105" max="4105" width="30.7109375" customWidth="1"/>
    <col min="4106" max="4106" width="5.140625" customWidth="1"/>
    <col min="4109" max="4109" width="2.85546875" customWidth="1"/>
    <col min="4110" max="4111" width="7.140625" customWidth="1"/>
    <col min="4112" max="4113" width="8.7109375" customWidth="1"/>
    <col min="4114" max="4118" width="9.7109375" customWidth="1"/>
    <col min="4119" max="4122" width="8.7109375" customWidth="1"/>
    <col min="4123" max="4123" width="9.7109375" customWidth="1"/>
    <col min="4356" max="4356" width="9.140625" customWidth="1"/>
    <col min="4357" max="4360" width="10" customWidth="1"/>
    <col min="4361" max="4361" width="30.7109375" customWidth="1"/>
    <col min="4362" max="4362" width="5.140625" customWidth="1"/>
    <col min="4365" max="4365" width="2.85546875" customWidth="1"/>
    <col min="4366" max="4367" width="7.140625" customWidth="1"/>
    <col min="4368" max="4369" width="8.7109375" customWidth="1"/>
    <col min="4370" max="4374" width="9.7109375" customWidth="1"/>
    <col min="4375" max="4378" width="8.7109375" customWidth="1"/>
    <col min="4379" max="4379" width="9.7109375" customWidth="1"/>
    <col min="4612" max="4612" width="9.140625" customWidth="1"/>
    <col min="4613" max="4616" width="10" customWidth="1"/>
    <col min="4617" max="4617" width="30.7109375" customWidth="1"/>
    <col min="4618" max="4618" width="5.140625" customWidth="1"/>
    <col min="4621" max="4621" width="2.85546875" customWidth="1"/>
    <col min="4622" max="4623" width="7.140625" customWidth="1"/>
    <col min="4624" max="4625" width="8.7109375" customWidth="1"/>
    <col min="4626" max="4630" width="9.7109375" customWidth="1"/>
    <col min="4631" max="4634" width="8.7109375" customWidth="1"/>
    <col min="4635" max="4635" width="9.7109375" customWidth="1"/>
    <col min="4868" max="4868" width="9.140625" customWidth="1"/>
    <col min="4869" max="4872" width="10" customWidth="1"/>
    <col min="4873" max="4873" width="30.7109375" customWidth="1"/>
    <col min="4874" max="4874" width="5.140625" customWidth="1"/>
    <col min="4877" max="4877" width="2.85546875" customWidth="1"/>
    <col min="4878" max="4879" width="7.140625" customWidth="1"/>
    <col min="4880" max="4881" width="8.7109375" customWidth="1"/>
    <col min="4882" max="4886" width="9.7109375" customWidth="1"/>
    <col min="4887" max="4890" width="8.7109375" customWidth="1"/>
    <col min="4891" max="4891" width="9.7109375" customWidth="1"/>
    <col min="5124" max="5124" width="9.140625" customWidth="1"/>
    <col min="5125" max="5128" width="10" customWidth="1"/>
    <col min="5129" max="5129" width="30.7109375" customWidth="1"/>
    <col min="5130" max="5130" width="5.140625" customWidth="1"/>
    <col min="5133" max="5133" width="2.85546875" customWidth="1"/>
    <col min="5134" max="5135" width="7.140625" customWidth="1"/>
    <col min="5136" max="5137" width="8.7109375" customWidth="1"/>
    <col min="5138" max="5142" width="9.7109375" customWidth="1"/>
    <col min="5143" max="5146" width="8.7109375" customWidth="1"/>
    <col min="5147" max="5147" width="9.7109375" customWidth="1"/>
    <col min="5380" max="5380" width="9.140625" customWidth="1"/>
    <col min="5381" max="5384" width="10" customWidth="1"/>
    <col min="5385" max="5385" width="30.7109375" customWidth="1"/>
    <col min="5386" max="5386" width="5.140625" customWidth="1"/>
    <col min="5389" max="5389" width="2.85546875" customWidth="1"/>
    <col min="5390" max="5391" width="7.140625" customWidth="1"/>
    <col min="5392" max="5393" width="8.7109375" customWidth="1"/>
    <col min="5394" max="5398" width="9.7109375" customWidth="1"/>
    <col min="5399" max="5402" width="8.7109375" customWidth="1"/>
    <col min="5403" max="5403" width="9.7109375" customWidth="1"/>
    <col min="5636" max="5636" width="9.140625" customWidth="1"/>
    <col min="5637" max="5640" width="10" customWidth="1"/>
    <col min="5641" max="5641" width="30.7109375" customWidth="1"/>
    <col min="5642" max="5642" width="5.140625" customWidth="1"/>
    <col min="5645" max="5645" width="2.85546875" customWidth="1"/>
    <col min="5646" max="5647" width="7.140625" customWidth="1"/>
    <col min="5648" max="5649" width="8.7109375" customWidth="1"/>
    <col min="5650" max="5654" width="9.7109375" customWidth="1"/>
    <col min="5655" max="5658" width="8.7109375" customWidth="1"/>
    <col min="5659" max="5659" width="9.7109375" customWidth="1"/>
    <col min="5892" max="5892" width="9.140625" customWidth="1"/>
    <col min="5893" max="5896" width="10" customWidth="1"/>
    <col min="5897" max="5897" width="30.7109375" customWidth="1"/>
    <col min="5898" max="5898" width="5.140625" customWidth="1"/>
    <col min="5901" max="5901" width="2.85546875" customWidth="1"/>
    <col min="5902" max="5903" width="7.140625" customWidth="1"/>
    <col min="5904" max="5905" width="8.7109375" customWidth="1"/>
    <col min="5906" max="5910" width="9.7109375" customWidth="1"/>
    <col min="5911" max="5914" width="8.7109375" customWidth="1"/>
    <col min="5915" max="5915" width="9.7109375" customWidth="1"/>
    <col min="6148" max="6148" width="9.140625" customWidth="1"/>
    <col min="6149" max="6152" width="10" customWidth="1"/>
    <col min="6153" max="6153" width="30.7109375" customWidth="1"/>
    <col min="6154" max="6154" width="5.140625" customWidth="1"/>
    <col min="6157" max="6157" width="2.85546875" customWidth="1"/>
    <col min="6158" max="6159" width="7.140625" customWidth="1"/>
    <col min="6160" max="6161" width="8.7109375" customWidth="1"/>
    <col min="6162" max="6166" width="9.7109375" customWidth="1"/>
    <col min="6167" max="6170" width="8.7109375" customWidth="1"/>
    <col min="6171" max="6171" width="9.7109375" customWidth="1"/>
    <col min="6404" max="6404" width="9.140625" customWidth="1"/>
    <col min="6405" max="6408" width="10" customWidth="1"/>
    <col min="6409" max="6409" width="30.7109375" customWidth="1"/>
    <col min="6410" max="6410" width="5.140625" customWidth="1"/>
    <col min="6413" max="6413" width="2.85546875" customWidth="1"/>
    <col min="6414" max="6415" width="7.140625" customWidth="1"/>
    <col min="6416" max="6417" width="8.7109375" customWidth="1"/>
    <col min="6418" max="6422" width="9.7109375" customWidth="1"/>
    <col min="6423" max="6426" width="8.7109375" customWidth="1"/>
    <col min="6427" max="6427" width="9.7109375" customWidth="1"/>
    <col min="6660" max="6660" width="9.140625" customWidth="1"/>
    <col min="6661" max="6664" width="10" customWidth="1"/>
    <col min="6665" max="6665" width="30.7109375" customWidth="1"/>
    <col min="6666" max="6666" width="5.140625" customWidth="1"/>
    <col min="6669" max="6669" width="2.85546875" customWidth="1"/>
    <col min="6670" max="6671" width="7.140625" customWidth="1"/>
    <col min="6672" max="6673" width="8.7109375" customWidth="1"/>
    <col min="6674" max="6678" width="9.7109375" customWidth="1"/>
    <col min="6679" max="6682" width="8.7109375" customWidth="1"/>
    <col min="6683" max="6683" width="9.7109375" customWidth="1"/>
    <col min="6916" max="6916" width="9.140625" customWidth="1"/>
    <col min="6917" max="6920" width="10" customWidth="1"/>
    <col min="6921" max="6921" width="30.7109375" customWidth="1"/>
    <col min="6922" max="6922" width="5.140625" customWidth="1"/>
    <col min="6925" max="6925" width="2.85546875" customWidth="1"/>
    <col min="6926" max="6927" width="7.140625" customWidth="1"/>
    <col min="6928" max="6929" width="8.7109375" customWidth="1"/>
    <col min="6930" max="6934" width="9.7109375" customWidth="1"/>
    <col min="6935" max="6938" width="8.7109375" customWidth="1"/>
    <col min="6939" max="6939" width="9.7109375" customWidth="1"/>
    <col min="7172" max="7172" width="9.140625" customWidth="1"/>
    <col min="7173" max="7176" width="10" customWidth="1"/>
    <col min="7177" max="7177" width="30.7109375" customWidth="1"/>
    <col min="7178" max="7178" width="5.140625" customWidth="1"/>
    <col min="7181" max="7181" width="2.85546875" customWidth="1"/>
    <col min="7182" max="7183" width="7.140625" customWidth="1"/>
    <col min="7184" max="7185" width="8.7109375" customWidth="1"/>
    <col min="7186" max="7190" width="9.7109375" customWidth="1"/>
    <col min="7191" max="7194" width="8.7109375" customWidth="1"/>
    <col min="7195" max="7195" width="9.7109375" customWidth="1"/>
    <col min="7428" max="7428" width="9.140625" customWidth="1"/>
    <col min="7429" max="7432" width="10" customWidth="1"/>
    <col min="7433" max="7433" width="30.7109375" customWidth="1"/>
    <col min="7434" max="7434" width="5.140625" customWidth="1"/>
    <col min="7437" max="7437" width="2.85546875" customWidth="1"/>
    <col min="7438" max="7439" width="7.140625" customWidth="1"/>
    <col min="7440" max="7441" width="8.7109375" customWidth="1"/>
    <col min="7442" max="7446" width="9.7109375" customWidth="1"/>
    <col min="7447" max="7450" width="8.7109375" customWidth="1"/>
    <col min="7451" max="7451" width="9.7109375" customWidth="1"/>
    <col min="7684" max="7684" width="9.140625" customWidth="1"/>
    <col min="7685" max="7688" width="10" customWidth="1"/>
    <col min="7689" max="7689" width="30.7109375" customWidth="1"/>
    <col min="7690" max="7690" width="5.140625" customWidth="1"/>
    <col min="7693" max="7693" width="2.85546875" customWidth="1"/>
    <col min="7694" max="7695" width="7.140625" customWidth="1"/>
    <col min="7696" max="7697" width="8.7109375" customWidth="1"/>
    <col min="7698" max="7702" width="9.7109375" customWidth="1"/>
    <col min="7703" max="7706" width="8.7109375" customWidth="1"/>
    <col min="7707" max="7707" width="9.7109375" customWidth="1"/>
    <col min="7940" max="7940" width="9.140625" customWidth="1"/>
    <col min="7941" max="7944" width="10" customWidth="1"/>
    <col min="7945" max="7945" width="30.7109375" customWidth="1"/>
    <col min="7946" max="7946" width="5.140625" customWidth="1"/>
    <col min="7949" max="7949" width="2.85546875" customWidth="1"/>
    <col min="7950" max="7951" width="7.140625" customWidth="1"/>
    <col min="7952" max="7953" width="8.7109375" customWidth="1"/>
    <col min="7954" max="7958" width="9.7109375" customWidth="1"/>
    <col min="7959" max="7962" width="8.7109375" customWidth="1"/>
    <col min="7963" max="7963" width="9.7109375" customWidth="1"/>
    <col min="8196" max="8196" width="9.140625" customWidth="1"/>
    <col min="8197" max="8200" width="10" customWidth="1"/>
    <col min="8201" max="8201" width="30.7109375" customWidth="1"/>
    <col min="8202" max="8202" width="5.140625" customWidth="1"/>
    <col min="8205" max="8205" width="2.85546875" customWidth="1"/>
    <col min="8206" max="8207" width="7.140625" customWidth="1"/>
    <col min="8208" max="8209" width="8.7109375" customWidth="1"/>
    <col min="8210" max="8214" width="9.7109375" customWidth="1"/>
    <col min="8215" max="8218" width="8.7109375" customWidth="1"/>
    <col min="8219" max="8219" width="9.7109375" customWidth="1"/>
    <col min="8452" max="8452" width="9.140625" customWidth="1"/>
    <col min="8453" max="8456" width="10" customWidth="1"/>
    <col min="8457" max="8457" width="30.7109375" customWidth="1"/>
    <col min="8458" max="8458" width="5.140625" customWidth="1"/>
    <col min="8461" max="8461" width="2.85546875" customWidth="1"/>
    <col min="8462" max="8463" width="7.140625" customWidth="1"/>
    <col min="8464" max="8465" width="8.7109375" customWidth="1"/>
    <col min="8466" max="8470" width="9.7109375" customWidth="1"/>
    <col min="8471" max="8474" width="8.7109375" customWidth="1"/>
    <col min="8475" max="8475" width="9.7109375" customWidth="1"/>
    <col min="8708" max="8708" width="9.140625" customWidth="1"/>
    <col min="8709" max="8712" width="10" customWidth="1"/>
    <col min="8713" max="8713" width="30.7109375" customWidth="1"/>
    <col min="8714" max="8714" width="5.140625" customWidth="1"/>
    <col min="8717" max="8717" width="2.85546875" customWidth="1"/>
    <col min="8718" max="8719" width="7.140625" customWidth="1"/>
    <col min="8720" max="8721" width="8.7109375" customWidth="1"/>
    <col min="8722" max="8726" width="9.7109375" customWidth="1"/>
    <col min="8727" max="8730" width="8.7109375" customWidth="1"/>
    <col min="8731" max="8731" width="9.7109375" customWidth="1"/>
    <col min="8964" max="8964" width="9.140625" customWidth="1"/>
    <col min="8965" max="8968" width="10" customWidth="1"/>
    <col min="8969" max="8969" width="30.7109375" customWidth="1"/>
    <col min="8970" max="8970" width="5.140625" customWidth="1"/>
    <col min="8973" max="8973" width="2.85546875" customWidth="1"/>
    <col min="8974" max="8975" width="7.140625" customWidth="1"/>
    <col min="8976" max="8977" width="8.7109375" customWidth="1"/>
    <col min="8978" max="8982" width="9.7109375" customWidth="1"/>
    <col min="8983" max="8986" width="8.7109375" customWidth="1"/>
    <col min="8987" max="8987" width="9.7109375" customWidth="1"/>
    <col min="9220" max="9220" width="9.140625" customWidth="1"/>
    <col min="9221" max="9224" width="10" customWidth="1"/>
    <col min="9225" max="9225" width="30.7109375" customWidth="1"/>
    <col min="9226" max="9226" width="5.140625" customWidth="1"/>
    <col min="9229" max="9229" width="2.85546875" customWidth="1"/>
    <col min="9230" max="9231" width="7.140625" customWidth="1"/>
    <col min="9232" max="9233" width="8.7109375" customWidth="1"/>
    <col min="9234" max="9238" width="9.7109375" customWidth="1"/>
    <col min="9239" max="9242" width="8.7109375" customWidth="1"/>
    <col min="9243" max="9243" width="9.7109375" customWidth="1"/>
    <col min="9476" max="9476" width="9.140625" customWidth="1"/>
    <col min="9477" max="9480" width="10" customWidth="1"/>
    <col min="9481" max="9481" width="30.7109375" customWidth="1"/>
    <col min="9482" max="9482" width="5.140625" customWidth="1"/>
    <col min="9485" max="9485" width="2.85546875" customWidth="1"/>
    <col min="9486" max="9487" width="7.140625" customWidth="1"/>
    <col min="9488" max="9489" width="8.7109375" customWidth="1"/>
    <col min="9490" max="9494" width="9.7109375" customWidth="1"/>
    <col min="9495" max="9498" width="8.7109375" customWidth="1"/>
    <col min="9499" max="9499" width="9.7109375" customWidth="1"/>
    <col min="9732" max="9732" width="9.140625" customWidth="1"/>
    <col min="9733" max="9736" width="10" customWidth="1"/>
    <col min="9737" max="9737" width="30.7109375" customWidth="1"/>
    <col min="9738" max="9738" width="5.140625" customWidth="1"/>
    <col min="9741" max="9741" width="2.85546875" customWidth="1"/>
    <col min="9742" max="9743" width="7.140625" customWidth="1"/>
    <col min="9744" max="9745" width="8.7109375" customWidth="1"/>
    <col min="9746" max="9750" width="9.7109375" customWidth="1"/>
    <col min="9751" max="9754" width="8.7109375" customWidth="1"/>
    <col min="9755" max="9755" width="9.7109375" customWidth="1"/>
    <col min="9988" max="9988" width="9.140625" customWidth="1"/>
    <col min="9989" max="9992" width="10" customWidth="1"/>
    <col min="9993" max="9993" width="30.7109375" customWidth="1"/>
    <col min="9994" max="9994" width="5.140625" customWidth="1"/>
    <col min="9997" max="9997" width="2.85546875" customWidth="1"/>
    <col min="9998" max="9999" width="7.140625" customWidth="1"/>
    <col min="10000" max="10001" width="8.7109375" customWidth="1"/>
    <col min="10002" max="10006" width="9.7109375" customWidth="1"/>
    <col min="10007" max="10010" width="8.7109375" customWidth="1"/>
    <col min="10011" max="10011" width="9.7109375" customWidth="1"/>
    <col min="10244" max="10244" width="9.140625" customWidth="1"/>
    <col min="10245" max="10248" width="10" customWidth="1"/>
    <col min="10249" max="10249" width="30.7109375" customWidth="1"/>
    <col min="10250" max="10250" width="5.140625" customWidth="1"/>
    <col min="10253" max="10253" width="2.85546875" customWidth="1"/>
    <col min="10254" max="10255" width="7.140625" customWidth="1"/>
    <col min="10256" max="10257" width="8.7109375" customWidth="1"/>
    <col min="10258" max="10262" width="9.7109375" customWidth="1"/>
    <col min="10263" max="10266" width="8.7109375" customWidth="1"/>
    <col min="10267" max="10267" width="9.7109375" customWidth="1"/>
    <col min="10500" max="10500" width="9.140625" customWidth="1"/>
    <col min="10501" max="10504" width="10" customWidth="1"/>
    <col min="10505" max="10505" width="30.7109375" customWidth="1"/>
    <col min="10506" max="10506" width="5.140625" customWidth="1"/>
    <col min="10509" max="10509" width="2.85546875" customWidth="1"/>
    <col min="10510" max="10511" width="7.140625" customWidth="1"/>
    <col min="10512" max="10513" width="8.7109375" customWidth="1"/>
    <col min="10514" max="10518" width="9.7109375" customWidth="1"/>
    <col min="10519" max="10522" width="8.7109375" customWidth="1"/>
    <col min="10523" max="10523" width="9.7109375" customWidth="1"/>
    <col min="10756" max="10756" width="9.140625" customWidth="1"/>
    <col min="10757" max="10760" width="10" customWidth="1"/>
    <col min="10761" max="10761" width="30.7109375" customWidth="1"/>
    <col min="10762" max="10762" width="5.140625" customWidth="1"/>
    <col min="10765" max="10765" width="2.85546875" customWidth="1"/>
    <col min="10766" max="10767" width="7.140625" customWidth="1"/>
    <col min="10768" max="10769" width="8.7109375" customWidth="1"/>
    <col min="10770" max="10774" width="9.7109375" customWidth="1"/>
    <col min="10775" max="10778" width="8.7109375" customWidth="1"/>
    <col min="10779" max="10779" width="9.7109375" customWidth="1"/>
    <col min="11012" max="11012" width="9.140625" customWidth="1"/>
    <col min="11013" max="11016" width="10" customWidth="1"/>
    <col min="11017" max="11017" width="30.7109375" customWidth="1"/>
    <col min="11018" max="11018" width="5.140625" customWidth="1"/>
    <col min="11021" max="11021" width="2.85546875" customWidth="1"/>
    <col min="11022" max="11023" width="7.140625" customWidth="1"/>
    <col min="11024" max="11025" width="8.7109375" customWidth="1"/>
    <col min="11026" max="11030" width="9.7109375" customWidth="1"/>
    <col min="11031" max="11034" width="8.7109375" customWidth="1"/>
    <col min="11035" max="11035" width="9.7109375" customWidth="1"/>
    <col min="11268" max="11268" width="9.140625" customWidth="1"/>
    <col min="11269" max="11272" width="10" customWidth="1"/>
    <col min="11273" max="11273" width="30.7109375" customWidth="1"/>
    <col min="11274" max="11274" width="5.140625" customWidth="1"/>
    <col min="11277" max="11277" width="2.85546875" customWidth="1"/>
    <col min="11278" max="11279" width="7.140625" customWidth="1"/>
    <col min="11280" max="11281" width="8.7109375" customWidth="1"/>
    <col min="11282" max="11286" width="9.7109375" customWidth="1"/>
    <col min="11287" max="11290" width="8.7109375" customWidth="1"/>
    <col min="11291" max="11291" width="9.7109375" customWidth="1"/>
    <col min="11524" max="11524" width="9.140625" customWidth="1"/>
    <col min="11525" max="11528" width="10" customWidth="1"/>
    <col min="11529" max="11529" width="30.7109375" customWidth="1"/>
    <col min="11530" max="11530" width="5.140625" customWidth="1"/>
    <col min="11533" max="11533" width="2.85546875" customWidth="1"/>
    <col min="11534" max="11535" width="7.140625" customWidth="1"/>
    <col min="11536" max="11537" width="8.7109375" customWidth="1"/>
    <col min="11538" max="11542" width="9.7109375" customWidth="1"/>
    <col min="11543" max="11546" width="8.7109375" customWidth="1"/>
    <col min="11547" max="11547" width="9.7109375" customWidth="1"/>
    <col min="11780" max="11780" width="9.140625" customWidth="1"/>
    <col min="11781" max="11784" width="10" customWidth="1"/>
    <col min="11785" max="11785" width="30.7109375" customWidth="1"/>
    <col min="11786" max="11786" width="5.140625" customWidth="1"/>
    <col min="11789" max="11789" width="2.85546875" customWidth="1"/>
    <col min="11790" max="11791" width="7.140625" customWidth="1"/>
    <col min="11792" max="11793" width="8.7109375" customWidth="1"/>
    <col min="11794" max="11798" width="9.7109375" customWidth="1"/>
    <col min="11799" max="11802" width="8.7109375" customWidth="1"/>
    <col min="11803" max="11803" width="9.7109375" customWidth="1"/>
    <col min="12036" max="12036" width="9.140625" customWidth="1"/>
    <col min="12037" max="12040" width="10" customWidth="1"/>
    <col min="12041" max="12041" width="30.7109375" customWidth="1"/>
    <col min="12042" max="12042" width="5.140625" customWidth="1"/>
    <col min="12045" max="12045" width="2.85546875" customWidth="1"/>
    <col min="12046" max="12047" width="7.140625" customWidth="1"/>
    <col min="12048" max="12049" width="8.7109375" customWidth="1"/>
    <col min="12050" max="12054" width="9.7109375" customWidth="1"/>
    <col min="12055" max="12058" width="8.7109375" customWidth="1"/>
    <col min="12059" max="12059" width="9.7109375" customWidth="1"/>
    <col min="12292" max="12292" width="9.140625" customWidth="1"/>
    <col min="12293" max="12296" width="10" customWidth="1"/>
    <col min="12297" max="12297" width="30.7109375" customWidth="1"/>
    <col min="12298" max="12298" width="5.140625" customWidth="1"/>
    <col min="12301" max="12301" width="2.85546875" customWidth="1"/>
    <col min="12302" max="12303" width="7.140625" customWidth="1"/>
    <col min="12304" max="12305" width="8.7109375" customWidth="1"/>
    <col min="12306" max="12310" width="9.7109375" customWidth="1"/>
    <col min="12311" max="12314" width="8.7109375" customWidth="1"/>
    <col min="12315" max="12315" width="9.7109375" customWidth="1"/>
    <col min="12548" max="12548" width="9.140625" customWidth="1"/>
    <col min="12549" max="12552" width="10" customWidth="1"/>
    <col min="12553" max="12553" width="30.7109375" customWidth="1"/>
    <col min="12554" max="12554" width="5.140625" customWidth="1"/>
    <col min="12557" max="12557" width="2.85546875" customWidth="1"/>
    <col min="12558" max="12559" width="7.140625" customWidth="1"/>
    <col min="12560" max="12561" width="8.7109375" customWidth="1"/>
    <col min="12562" max="12566" width="9.7109375" customWidth="1"/>
    <col min="12567" max="12570" width="8.7109375" customWidth="1"/>
    <col min="12571" max="12571" width="9.7109375" customWidth="1"/>
    <col min="12804" max="12804" width="9.140625" customWidth="1"/>
    <col min="12805" max="12808" width="10" customWidth="1"/>
    <col min="12809" max="12809" width="30.7109375" customWidth="1"/>
    <col min="12810" max="12810" width="5.140625" customWidth="1"/>
    <col min="12813" max="12813" width="2.85546875" customWidth="1"/>
    <col min="12814" max="12815" width="7.140625" customWidth="1"/>
    <col min="12816" max="12817" width="8.7109375" customWidth="1"/>
    <col min="12818" max="12822" width="9.7109375" customWidth="1"/>
    <col min="12823" max="12826" width="8.7109375" customWidth="1"/>
    <col min="12827" max="12827" width="9.7109375" customWidth="1"/>
    <col min="13060" max="13060" width="9.140625" customWidth="1"/>
    <col min="13061" max="13064" width="10" customWidth="1"/>
    <col min="13065" max="13065" width="30.7109375" customWidth="1"/>
    <col min="13066" max="13066" width="5.140625" customWidth="1"/>
    <col min="13069" max="13069" width="2.85546875" customWidth="1"/>
    <col min="13070" max="13071" width="7.140625" customWidth="1"/>
    <col min="13072" max="13073" width="8.7109375" customWidth="1"/>
    <col min="13074" max="13078" width="9.7109375" customWidth="1"/>
    <col min="13079" max="13082" width="8.7109375" customWidth="1"/>
    <col min="13083" max="13083" width="9.7109375" customWidth="1"/>
    <col min="13316" max="13316" width="9.140625" customWidth="1"/>
    <col min="13317" max="13320" width="10" customWidth="1"/>
    <col min="13321" max="13321" width="30.7109375" customWidth="1"/>
    <col min="13322" max="13322" width="5.140625" customWidth="1"/>
    <col min="13325" max="13325" width="2.85546875" customWidth="1"/>
    <col min="13326" max="13327" width="7.140625" customWidth="1"/>
    <col min="13328" max="13329" width="8.7109375" customWidth="1"/>
    <col min="13330" max="13334" width="9.7109375" customWidth="1"/>
    <col min="13335" max="13338" width="8.7109375" customWidth="1"/>
    <col min="13339" max="13339" width="9.7109375" customWidth="1"/>
    <col min="13572" max="13572" width="9.140625" customWidth="1"/>
    <col min="13573" max="13576" width="10" customWidth="1"/>
    <col min="13577" max="13577" width="30.7109375" customWidth="1"/>
    <col min="13578" max="13578" width="5.140625" customWidth="1"/>
    <col min="13581" max="13581" width="2.85546875" customWidth="1"/>
    <col min="13582" max="13583" width="7.140625" customWidth="1"/>
    <col min="13584" max="13585" width="8.7109375" customWidth="1"/>
    <col min="13586" max="13590" width="9.7109375" customWidth="1"/>
    <col min="13591" max="13594" width="8.7109375" customWidth="1"/>
    <col min="13595" max="13595" width="9.7109375" customWidth="1"/>
    <col min="13828" max="13828" width="9.140625" customWidth="1"/>
    <col min="13829" max="13832" width="10" customWidth="1"/>
    <col min="13833" max="13833" width="30.7109375" customWidth="1"/>
    <col min="13834" max="13834" width="5.140625" customWidth="1"/>
    <col min="13837" max="13837" width="2.85546875" customWidth="1"/>
    <col min="13838" max="13839" width="7.140625" customWidth="1"/>
    <col min="13840" max="13841" width="8.7109375" customWidth="1"/>
    <col min="13842" max="13846" width="9.7109375" customWidth="1"/>
    <col min="13847" max="13850" width="8.7109375" customWidth="1"/>
    <col min="13851" max="13851" width="9.7109375" customWidth="1"/>
    <col min="14084" max="14084" width="9.140625" customWidth="1"/>
    <col min="14085" max="14088" width="10" customWidth="1"/>
    <col min="14089" max="14089" width="30.7109375" customWidth="1"/>
    <col min="14090" max="14090" width="5.140625" customWidth="1"/>
    <col min="14093" max="14093" width="2.85546875" customWidth="1"/>
    <col min="14094" max="14095" width="7.140625" customWidth="1"/>
    <col min="14096" max="14097" width="8.7109375" customWidth="1"/>
    <col min="14098" max="14102" width="9.7109375" customWidth="1"/>
    <col min="14103" max="14106" width="8.7109375" customWidth="1"/>
    <col min="14107" max="14107" width="9.7109375" customWidth="1"/>
    <col min="14340" max="14340" width="9.140625" customWidth="1"/>
    <col min="14341" max="14344" width="10" customWidth="1"/>
    <col min="14345" max="14345" width="30.7109375" customWidth="1"/>
    <col min="14346" max="14346" width="5.140625" customWidth="1"/>
    <col min="14349" max="14349" width="2.85546875" customWidth="1"/>
    <col min="14350" max="14351" width="7.140625" customWidth="1"/>
    <col min="14352" max="14353" width="8.7109375" customWidth="1"/>
    <col min="14354" max="14358" width="9.7109375" customWidth="1"/>
    <col min="14359" max="14362" width="8.7109375" customWidth="1"/>
    <col min="14363" max="14363" width="9.7109375" customWidth="1"/>
    <col min="14596" max="14596" width="9.140625" customWidth="1"/>
    <col min="14597" max="14600" width="10" customWidth="1"/>
    <col min="14601" max="14601" width="30.7109375" customWidth="1"/>
    <col min="14602" max="14602" width="5.140625" customWidth="1"/>
    <col min="14605" max="14605" width="2.85546875" customWidth="1"/>
    <col min="14606" max="14607" width="7.140625" customWidth="1"/>
    <col min="14608" max="14609" width="8.7109375" customWidth="1"/>
    <col min="14610" max="14614" width="9.7109375" customWidth="1"/>
    <col min="14615" max="14618" width="8.7109375" customWidth="1"/>
    <col min="14619" max="14619" width="9.7109375" customWidth="1"/>
    <col min="14852" max="14852" width="9.140625" customWidth="1"/>
    <col min="14853" max="14856" width="10" customWidth="1"/>
    <col min="14857" max="14857" width="30.7109375" customWidth="1"/>
    <col min="14858" max="14858" width="5.140625" customWidth="1"/>
    <col min="14861" max="14861" width="2.85546875" customWidth="1"/>
    <col min="14862" max="14863" width="7.140625" customWidth="1"/>
    <col min="14864" max="14865" width="8.7109375" customWidth="1"/>
    <col min="14866" max="14870" width="9.7109375" customWidth="1"/>
    <col min="14871" max="14874" width="8.7109375" customWidth="1"/>
    <col min="14875" max="14875" width="9.7109375" customWidth="1"/>
    <col min="15108" max="15108" width="9.140625" customWidth="1"/>
    <col min="15109" max="15112" width="10" customWidth="1"/>
    <col min="15113" max="15113" width="30.7109375" customWidth="1"/>
    <col min="15114" max="15114" width="5.140625" customWidth="1"/>
    <col min="15117" max="15117" width="2.85546875" customWidth="1"/>
    <col min="15118" max="15119" width="7.140625" customWidth="1"/>
    <col min="15120" max="15121" width="8.7109375" customWidth="1"/>
    <col min="15122" max="15126" width="9.7109375" customWidth="1"/>
    <col min="15127" max="15130" width="8.7109375" customWidth="1"/>
    <col min="15131" max="15131" width="9.7109375" customWidth="1"/>
    <col min="15364" max="15364" width="9.140625" customWidth="1"/>
    <col min="15365" max="15368" width="10" customWidth="1"/>
    <col min="15369" max="15369" width="30.7109375" customWidth="1"/>
    <col min="15370" max="15370" width="5.140625" customWidth="1"/>
    <col min="15373" max="15373" width="2.85546875" customWidth="1"/>
    <col min="15374" max="15375" width="7.140625" customWidth="1"/>
    <col min="15376" max="15377" width="8.7109375" customWidth="1"/>
    <col min="15378" max="15382" width="9.7109375" customWidth="1"/>
    <col min="15383" max="15386" width="8.7109375" customWidth="1"/>
    <col min="15387" max="15387" width="9.7109375" customWidth="1"/>
    <col min="15620" max="15620" width="9.140625" customWidth="1"/>
    <col min="15621" max="15624" width="10" customWidth="1"/>
    <col min="15625" max="15625" width="30.7109375" customWidth="1"/>
    <col min="15626" max="15626" width="5.140625" customWidth="1"/>
    <col min="15629" max="15629" width="2.85546875" customWidth="1"/>
    <col min="15630" max="15631" width="7.140625" customWidth="1"/>
    <col min="15632" max="15633" width="8.7109375" customWidth="1"/>
    <col min="15634" max="15638" width="9.7109375" customWidth="1"/>
    <col min="15639" max="15642" width="8.7109375" customWidth="1"/>
    <col min="15643" max="15643" width="9.7109375" customWidth="1"/>
    <col min="15876" max="15876" width="9.140625" customWidth="1"/>
    <col min="15877" max="15880" width="10" customWidth="1"/>
    <col min="15881" max="15881" width="30.7109375" customWidth="1"/>
    <col min="15882" max="15882" width="5.140625" customWidth="1"/>
    <col min="15885" max="15885" width="2.85546875" customWidth="1"/>
    <col min="15886" max="15887" width="7.140625" customWidth="1"/>
    <col min="15888" max="15889" width="8.7109375" customWidth="1"/>
    <col min="15890" max="15894" width="9.7109375" customWidth="1"/>
    <col min="15895" max="15898" width="8.7109375" customWidth="1"/>
    <col min="15899" max="15899" width="9.7109375" customWidth="1"/>
    <col min="16132" max="16132" width="9.140625" customWidth="1"/>
    <col min="16133" max="16136" width="10" customWidth="1"/>
    <col min="16137" max="16137" width="30.7109375" customWidth="1"/>
    <col min="16138" max="16138" width="5.140625" customWidth="1"/>
    <col min="16141" max="16141" width="2.85546875" customWidth="1"/>
    <col min="16142" max="16143" width="7.140625" customWidth="1"/>
    <col min="16144" max="16145" width="8.7109375" customWidth="1"/>
    <col min="16146" max="16150" width="9.7109375" customWidth="1"/>
    <col min="16151" max="16154" width="8.7109375" customWidth="1"/>
    <col min="16155" max="16155" width="9.7109375" customWidth="1"/>
  </cols>
  <sheetData>
    <row r="1" spans="1:48" ht="60.75" customHeight="1" x14ac:dyDescent="0.25">
      <c r="A1" s="173" t="s">
        <v>147</v>
      </c>
      <c r="B1" s="174" t="s">
        <v>148</v>
      </c>
      <c r="C1" s="174" t="s">
        <v>277</v>
      </c>
      <c r="D1" s="172" t="s">
        <v>256</v>
      </c>
      <c r="E1" s="174" t="s">
        <v>149</v>
      </c>
      <c r="F1" s="174" t="s">
        <v>150</v>
      </c>
      <c r="G1" s="174" t="s">
        <v>151</v>
      </c>
      <c r="H1" s="175" t="s">
        <v>152</v>
      </c>
      <c r="I1" s="175" t="s">
        <v>153</v>
      </c>
      <c r="J1" s="172">
        <v>1</v>
      </c>
      <c r="K1" s="172">
        <v>2</v>
      </c>
      <c r="L1" s="172">
        <v>3</v>
      </c>
      <c r="M1" s="172">
        <v>4</v>
      </c>
      <c r="N1" s="172">
        <v>5</v>
      </c>
      <c r="O1" s="172">
        <v>6</v>
      </c>
      <c r="P1" s="172">
        <v>7</v>
      </c>
      <c r="Q1" s="172">
        <v>8</v>
      </c>
      <c r="R1" s="172">
        <v>9</v>
      </c>
      <c r="S1" s="172">
        <v>10</v>
      </c>
      <c r="T1" s="172">
        <v>11</v>
      </c>
      <c r="U1" s="172">
        <v>12</v>
      </c>
      <c r="V1" s="176" t="s">
        <v>248</v>
      </c>
      <c r="W1" s="176"/>
      <c r="X1" s="174"/>
      <c r="Y1" s="176" t="s">
        <v>272</v>
      </c>
      <c r="Z1" s="180"/>
      <c r="AA1" s="179" t="s">
        <v>286</v>
      </c>
      <c r="AC1" s="176" t="s">
        <v>294</v>
      </c>
      <c r="AE1" s="179" t="s">
        <v>300</v>
      </c>
      <c r="AF1" s="179"/>
      <c r="AG1" s="179" t="s">
        <v>311</v>
      </c>
      <c r="AI1" s="179" t="s">
        <v>316</v>
      </c>
      <c r="AK1" s="179" t="s">
        <v>321</v>
      </c>
      <c r="AO1" s="215"/>
      <c r="AQ1" s="232"/>
      <c r="AS1" s="213"/>
    </row>
    <row r="2" spans="1:48" x14ac:dyDescent="0.25">
      <c r="A2" s="8">
        <v>501.02</v>
      </c>
      <c r="B2" t="s">
        <v>275</v>
      </c>
      <c r="C2" t="s">
        <v>208</v>
      </c>
      <c r="D2" s="58">
        <v>1</v>
      </c>
      <c r="G2" t="s">
        <v>155</v>
      </c>
      <c r="H2" s="57">
        <v>0.16500000000000001</v>
      </c>
      <c r="I2" s="57">
        <v>0.16500000000000001</v>
      </c>
      <c r="J2" s="56">
        <v>-140.05000000000001</v>
      </c>
      <c r="K2" s="56">
        <v>0</v>
      </c>
      <c r="L2" s="56">
        <v>0</v>
      </c>
      <c r="M2" s="56">
        <v>-38.24</v>
      </c>
      <c r="N2" s="56">
        <v>0</v>
      </c>
      <c r="O2" s="56">
        <v>0</v>
      </c>
      <c r="P2" s="56">
        <v>0</v>
      </c>
      <c r="Q2" s="56">
        <v>0</v>
      </c>
      <c r="R2" s="56">
        <v>0</v>
      </c>
      <c r="S2" s="56">
        <v>0</v>
      </c>
      <c r="T2" s="56">
        <v>-121</v>
      </c>
      <c r="U2" s="56">
        <v>0</v>
      </c>
      <c r="V2" s="146">
        <v>0</v>
      </c>
      <c r="W2" s="146"/>
      <c r="X2" s="139"/>
      <c r="Y2" s="146">
        <v>0</v>
      </c>
      <c r="AA2" s="139">
        <v>-40</v>
      </c>
      <c r="AC2" s="139"/>
      <c r="AT2" s="139"/>
      <c r="AU2" s="139"/>
      <c r="AV2" s="139"/>
    </row>
    <row r="3" spans="1:48" x14ac:dyDescent="0.25">
      <c r="A3" s="8">
        <v>501.04</v>
      </c>
      <c r="B3" t="s">
        <v>154</v>
      </c>
      <c r="C3" s="9" t="s">
        <v>4</v>
      </c>
      <c r="D3" s="58">
        <v>1</v>
      </c>
      <c r="G3" t="s">
        <v>155</v>
      </c>
      <c r="H3" s="57">
        <v>0.16500000000000001</v>
      </c>
      <c r="I3" s="57">
        <v>0.16500000000000001</v>
      </c>
      <c r="J3" s="56">
        <v>-140.05000000000001</v>
      </c>
      <c r="K3" s="56">
        <v>0</v>
      </c>
      <c r="L3" s="56">
        <v>0</v>
      </c>
      <c r="M3" s="56">
        <v>-38.24</v>
      </c>
      <c r="N3" s="56">
        <v>0</v>
      </c>
      <c r="O3" s="56">
        <v>0</v>
      </c>
      <c r="P3" s="56">
        <v>0</v>
      </c>
      <c r="Q3" s="56">
        <v>0</v>
      </c>
      <c r="R3" s="56">
        <v>0</v>
      </c>
      <c r="S3" s="56">
        <v>0</v>
      </c>
      <c r="T3" s="56">
        <v>-121</v>
      </c>
      <c r="U3" s="56">
        <v>0</v>
      </c>
      <c r="V3" s="146">
        <v>-299.29000000000002</v>
      </c>
      <c r="W3" s="146"/>
      <c r="X3" s="139"/>
      <c r="Y3" s="146">
        <v>-230.76</v>
      </c>
      <c r="AA3" s="139">
        <v>-206.17</v>
      </c>
      <c r="AC3" s="139">
        <v>-115.53</v>
      </c>
      <c r="AE3" s="139">
        <v>-64.040000000000006</v>
      </c>
      <c r="AG3" s="139">
        <v>-356.6</v>
      </c>
      <c r="AH3" s="56"/>
      <c r="AI3" s="139">
        <v>-367.97</v>
      </c>
      <c r="AJ3" s="56"/>
      <c r="AK3" s="139">
        <v>-126.54</v>
      </c>
      <c r="AL3" s="56"/>
      <c r="AN3" s="56"/>
      <c r="AU3" s="139"/>
      <c r="AV3" s="139"/>
    </row>
    <row r="4" spans="1:48" x14ac:dyDescent="0.25">
      <c r="A4" s="8">
        <v>501.1</v>
      </c>
      <c r="B4" t="s">
        <v>156</v>
      </c>
      <c r="C4" s="9" t="s">
        <v>5</v>
      </c>
      <c r="D4" s="58">
        <v>1</v>
      </c>
      <c r="G4" t="s">
        <v>155</v>
      </c>
      <c r="H4" s="57">
        <v>0.27</v>
      </c>
      <c r="I4" s="57">
        <v>0.27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-91.02</v>
      </c>
      <c r="P4" s="56">
        <v>0</v>
      </c>
      <c r="Q4" s="56">
        <v>0</v>
      </c>
      <c r="R4" s="56">
        <v>0</v>
      </c>
      <c r="S4" s="56">
        <v>0</v>
      </c>
      <c r="T4" s="56">
        <v>-396.92</v>
      </c>
      <c r="U4" s="56">
        <v>0</v>
      </c>
      <c r="V4" s="146">
        <v>-72.5</v>
      </c>
      <c r="W4" s="146"/>
      <c r="X4" s="139"/>
      <c r="Y4" s="146">
        <v>-1211.17</v>
      </c>
      <c r="AA4" s="139">
        <v>-241.12</v>
      </c>
      <c r="AC4" s="139">
        <v>-413.19</v>
      </c>
      <c r="AD4"/>
      <c r="AE4" s="139">
        <v>-662.69</v>
      </c>
      <c r="AG4" s="139">
        <v>-568.91</v>
      </c>
      <c r="AH4" s="139"/>
      <c r="AI4" s="139">
        <v>-739.61</v>
      </c>
      <c r="AJ4" s="139"/>
      <c r="AK4" s="139">
        <v>-395.58</v>
      </c>
      <c r="AL4" s="139"/>
      <c r="AN4" s="139"/>
      <c r="AU4" s="139"/>
      <c r="AV4" s="139"/>
    </row>
    <row r="5" spans="1:48" x14ac:dyDescent="0.25">
      <c r="A5" s="8">
        <v>501.11</v>
      </c>
      <c r="B5" t="s">
        <v>157</v>
      </c>
      <c r="C5" t="s">
        <v>26</v>
      </c>
      <c r="D5" s="58">
        <v>1</v>
      </c>
      <c r="G5" t="s">
        <v>155</v>
      </c>
      <c r="H5" s="57">
        <v>1.3069999999999999</v>
      </c>
      <c r="I5" s="57">
        <v>1.3069999999999999</v>
      </c>
      <c r="J5" s="56">
        <v>-72</v>
      </c>
      <c r="K5" s="56">
        <v>0</v>
      </c>
      <c r="L5" s="56">
        <v>0</v>
      </c>
      <c r="M5" s="56">
        <v>0</v>
      </c>
      <c r="N5" s="56">
        <v>0</v>
      </c>
      <c r="O5" s="56">
        <v>-22</v>
      </c>
      <c r="P5" s="56">
        <v>-539.16999999999996</v>
      </c>
      <c r="Q5" s="56">
        <v>-1346</v>
      </c>
      <c r="R5" s="56">
        <v>0</v>
      </c>
      <c r="S5" s="56">
        <v>-0.83</v>
      </c>
      <c r="T5" s="56">
        <v>0</v>
      </c>
      <c r="U5" s="56">
        <v>-387</v>
      </c>
      <c r="V5" s="146">
        <v>-481.83</v>
      </c>
      <c r="W5" s="146"/>
      <c r="X5" s="139"/>
      <c r="Y5" s="146">
        <v>-224.17</v>
      </c>
      <c r="AA5" s="139">
        <v>-5076.22</v>
      </c>
      <c r="AC5" s="139"/>
      <c r="AE5" s="139">
        <v>-556.4</v>
      </c>
      <c r="AG5" s="139">
        <v>-860.7</v>
      </c>
      <c r="AH5" s="139"/>
      <c r="AI5" s="139">
        <v>-384.7</v>
      </c>
      <c r="AJ5" s="139"/>
      <c r="AL5" s="139"/>
      <c r="AN5" s="139"/>
      <c r="AR5" s="56"/>
      <c r="AS5" s="56"/>
      <c r="AU5" s="139"/>
      <c r="AV5" s="139"/>
    </row>
    <row r="6" spans="1:48" x14ac:dyDescent="0.25">
      <c r="A6" s="8">
        <v>501.12</v>
      </c>
      <c r="B6" t="s">
        <v>276</v>
      </c>
      <c r="C6" t="s">
        <v>208</v>
      </c>
      <c r="D6" s="58">
        <v>1</v>
      </c>
      <c r="V6" s="146">
        <v>0</v>
      </c>
      <c r="W6" s="146"/>
      <c r="X6" s="139"/>
      <c r="Y6" s="146">
        <v>0</v>
      </c>
      <c r="AA6" s="139">
        <v>-239.38</v>
      </c>
      <c r="AC6" s="139"/>
      <c r="AH6" s="139"/>
      <c r="AJ6" s="139"/>
      <c r="AL6" s="139"/>
      <c r="AN6" s="139"/>
      <c r="AR6" s="56"/>
      <c r="AS6" s="56"/>
      <c r="AU6" s="139"/>
      <c r="AV6" s="139"/>
    </row>
    <row r="7" spans="1:48" x14ac:dyDescent="0.25">
      <c r="A7" s="8">
        <v>501.15</v>
      </c>
      <c r="B7" t="s">
        <v>158</v>
      </c>
      <c r="C7" t="s">
        <v>208</v>
      </c>
      <c r="D7" s="58">
        <v>1</v>
      </c>
      <c r="G7" t="s">
        <v>155</v>
      </c>
      <c r="H7" s="57">
        <v>0.20899999999999999</v>
      </c>
      <c r="I7" s="57">
        <v>0.20899999999999999</v>
      </c>
      <c r="J7" s="56">
        <v>0</v>
      </c>
      <c r="K7" s="56">
        <v>0</v>
      </c>
      <c r="L7" s="56">
        <v>-152.33000000000001</v>
      </c>
      <c r="M7" s="56">
        <v>0</v>
      </c>
      <c r="N7" s="56">
        <v>0</v>
      </c>
      <c r="O7" s="56">
        <v>-96.48</v>
      </c>
      <c r="P7" s="56">
        <v>0</v>
      </c>
      <c r="Q7" s="56">
        <v>0</v>
      </c>
      <c r="R7" s="56">
        <v>-15.83</v>
      </c>
      <c r="S7" s="56">
        <v>0</v>
      </c>
      <c r="T7" s="56">
        <v>-107.35</v>
      </c>
      <c r="U7" s="56">
        <v>-5.95</v>
      </c>
      <c r="V7" s="146">
        <v>-419.66</v>
      </c>
      <c r="W7" s="146"/>
      <c r="X7" s="139"/>
      <c r="Y7" s="146">
        <v>-1077.3699999999999</v>
      </c>
      <c r="AA7" s="139">
        <v>-828.4</v>
      </c>
      <c r="AC7" s="139">
        <v>-370.28</v>
      </c>
      <c r="AD7"/>
      <c r="AE7" s="139">
        <v>-183.51</v>
      </c>
      <c r="AG7" s="139">
        <v>-115.65</v>
      </c>
      <c r="AH7" s="139"/>
      <c r="AI7" s="139">
        <v>-114.83</v>
      </c>
      <c r="AJ7" s="139"/>
      <c r="AK7" s="139">
        <v>-15.83</v>
      </c>
      <c r="AL7" s="139"/>
      <c r="AN7" s="139"/>
      <c r="AR7" s="56"/>
      <c r="AS7" s="56"/>
      <c r="AU7" s="139"/>
      <c r="AV7" s="139"/>
    </row>
    <row r="8" spans="1:48" x14ac:dyDescent="0.25">
      <c r="A8" s="8">
        <v>501.21</v>
      </c>
      <c r="B8" t="s">
        <v>134</v>
      </c>
      <c r="C8" t="s">
        <v>208</v>
      </c>
      <c r="D8" s="58">
        <v>1</v>
      </c>
      <c r="G8" t="s">
        <v>155</v>
      </c>
      <c r="H8" s="57">
        <v>8.1000000000000003E-2</v>
      </c>
      <c r="I8" s="57">
        <v>8.1000000000000003E-2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-70.459999999999994</v>
      </c>
      <c r="P8" s="56">
        <v>0</v>
      </c>
      <c r="Q8" s="56">
        <v>0</v>
      </c>
      <c r="R8" s="56">
        <v>0</v>
      </c>
      <c r="S8" s="56">
        <v>0</v>
      </c>
      <c r="T8" s="56">
        <v>-62.33</v>
      </c>
      <c r="U8" s="56">
        <v>-14.17</v>
      </c>
      <c r="V8" s="146">
        <v>0</v>
      </c>
      <c r="W8" s="146"/>
      <c r="X8" s="139"/>
      <c r="Y8" s="146"/>
      <c r="AA8" s="139">
        <v>-104.75</v>
      </c>
      <c r="AC8" s="139">
        <v>0</v>
      </c>
      <c r="AH8" s="139"/>
      <c r="AJ8" s="139"/>
      <c r="AL8" s="139"/>
      <c r="AN8" s="139"/>
      <c r="AR8" s="56"/>
      <c r="AS8" s="56"/>
      <c r="AU8" s="139"/>
    </row>
    <row r="9" spans="1:48" x14ac:dyDescent="0.25">
      <c r="A9" s="8">
        <v>501.6</v>
      </c>
      <c r="B9" t="s">
        <v>159</v>
      </c>
      <c r="C9" t="s">
        <v>208</v>
      </c>
      <c r="D9" s="58">
        <v>1</v>
      </c>
      <c r="G9" t="s">
        <v>155</v>
      </c>
      <c r="H9" s="57">
        <v>0.43099999999999999</v>
      </c>
      <c r="I9" s="57">
        <v>0.43099999999999999</v>
      </c>
      <c r="J9" s="56">
        <v>-25.74</v>
      </c>
      <c r="K9" s="56">
        <v>-108.74</v>
      </c>
      <c r="L9" s="56">
        <v>-12.48</v>
      </c>
      <c r="M9" s="56">
        <v>-95.74</v>
      </c>
      <c r="N9" s="56">
        <v>-5.43</v>
      </c>
      <c r="O9" s="56">
        <v>0</v>
      </c>
      <c r="P9" s="56">
        <v>0</v>
      </c>
      <c r="Q9" s="56">
        <v>0</v>
      </c>
      <c r="R9" s="56">
        <v>0</v>
      </c>
      <c r="S9" s="56">
        <v>-277.44</v>
      </c>
      <c r="T9" s="56">
        <v>-208.84</v>
      </c>
      <c r="U9" s="56">
        <v>-45.69</v>
      </c>
      <c r="V9" s="146">
        <v>8.3000000000000007</v>
      </c>
      <c r="W9" s="146"/>
      <c r="X9" s="139"/>
      <c r="Y9" s="146"/>
      <c r="AC9" s="139"/>
      <c r="AH9" s="139"/>
      <c r="AJ9" s="139"/>
      <c r="AL9" s="139"/>
      <c r="AN9" s="139"/>
      <c r="AR9" s="56"/>
      <c r="AS9" s="56"/>
      <c r="AU9" s="139"/>
    </row>
    <row r="10" spans="1:48" x14ac:dyDescent="0.25">
      <c r="A10" s="8">
        <v>504.1</v>
      </c>
      <c r="B10" t="s">
        <v>251</v>
      </c>
      <c r="C10" t="s">
        <v>208</v>
      </c>
      <c r="D10" s="58">
        <v>1</v>
      </c>
      <c r="V10" s="146">
        <v>0</v>
      </c>
      <c r="W10" s="146"/>
      <c r="X10" s="139"/>
      <c r="Y10" s="146"/>
      <c r="AC10" s="139"/>
      <c r="AH10" s="139"/>
      <c r="AJ10" s="139"/>
      <c r="AL10" s="139"/>
      <c r="AN10" s="139"/>
      <c r="AR10" s="56"/>
      <c r="AS10" s="56"/>
      <c r="AU10" s="139"/>
    </row>
    <row r="11" spans="1:48" x14ac:dyDescent="0.25">
      <c r="A11" s="8">
        <v>511.1</v>
      </c>
      <c r="B11" t="s">
        <v>160</v>
      </c>
      <c r="C11" t="s">
        <v>208</v>
      </c>
      <c r="D11" s="58">
        <v>1</v>
      </c>
      <c r="G11" t="s">
        <v>155</v>
      </c>
      <c r="H11" s="57">
        <v>0.42599999999999999</v>
      </c>
      <c r="I11" s="57">
        <v>0.42599999999999999</v>
      </c>
      <c r="J11" s="56">
        <v>0</v>
      </c>
      <c r="K11" s="56">
        <v>0</v>
      </c>
      <c r="L11" s="56">
        <v>0</v>
      </c>
      <c r="M11" s="56">
        <v>-163.33000000000001</v>
      </c>
      <c r="N11" s="56">
        <v>-566.14</v>
      </c>
      <c r="O11" s="56">
        <v>-41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146">
        <v>-615.14</v>
      </c>
      <c r="W11" s="146"/>
      <c r="X11" s="139"/>
      <c r="Y11" s="146">
        <v>-114.86</v>
      </c>
      <c r="AA11" s="139">
        <v>-326.82</v>
      </c>
      <c r="AC11" s="139"/>
      <c r="AE11" s="139">
        <v>-60</v>
      </c>
      <c r="AH11" s="139"/>
      <c r="AI11" s="139">
        <v>-309</v>
      </c>
      <c r="AJ11" s="139"/>
      <c r="AL11" s="139"/>
      <c r="AN11" s="139"/>
      <c r="AR11" s="56"/>
      <c r="AS11" s="56"/>
      <c r="AU11" s="139"/>
    </row>
    <row r="12" spans="1:48" x14ac:dyDescent="0.25">
      <c r="A12" s="8">
        <v>512.1</v>
      </c>
      <c r="B12" t="s">
        <v>119</v>
      </c>
      <c r="C12" t="s">
        <v>208</v>
      </c>
      <c r="D12" s="58">
        <v>1</v>
      </c>
      <c r="G12" t="s">
        <v>155</v>
      </c>
      <c r="H12" s="57">
        <v>0.17799999999999999</v>
      </c>
      <c r="I12" s="57">
        <v>0.17799999999999999</v>
      </c>
      <c r="J12" s="56">
        <v>-43.81</v>
      </c>
      <c r="K12" s="56">
        <v>-135.30000000000001</v>
      </c>
      <c r="L12" s="56">
        <v>0</v>
      </c>
      <c r="M12" s="56">
        <v>0</v>
      </c>
      <c r="N12" s="56">
        <v>-72.08</v>
      </c>
      <c r="O12" s="56">
        <v>0</v>
      </c>
      <c r="P12" s="56">
        <v>0</v>
      </c>
      <c r="Q12" s="56">
        <v>0</v>
      </c>
      <c r="R12" s="56">
        <v>0</v>
      </c>
      <c r="S12" s="56">
        <v>-71.599999999999994</v>
      </c>
      <c r="T12" s="56">
        <v>0</v>
      </c>
      <c r="U12" s="56">
        <v>0</v>
      </c>
      <c r="V12" s="146">
        <v>-215.82</v>
      </c>
      <c r="W12" s="146"/>
      <c r="X12" s="139"/>
      <c r="Y12" s="146">
        <v>-142.22999999999999</v>
      </c>
      <c r="AA12" s="139">
        <v>-66.260000000000005</v>
      </c>
      <c r="AC12" s="139"/>
      <c r="AE12" s="139">
        <v>-138.19999999999999</v>
      </c>
      <c r="AG12" s="139">
        <v>-71.64</v>
      </c>
      <c r="AH12" s="139"/>
      <c r="AI12" s="139">
        <v>-89.56</v>
      </c>
      <c r="AJ12" s="139"/>
      <c r="AK12" s="139">
        <v>-179.46</v>
      </c>
      <c r="AL12" s="139"/>
      <c r="AN12" s="139"/>
      <c r="AR12" s="56"/>
      <c r="AS12" s="56"/>
      <c r="AU12" s="139"/>
    </row>
    <row r="13" spans="1:48" x14ac:dyDescent="0.25">
      <c r="A13" s="8">
        <v>512.20000000000005</v>
      </c>
      <c r="B13" t="s">
        <v>278</v>
      </c>
      <c r="C13" t="s">
        <v>208</v>
      </c>
      <c r="D13" s="58">
        <v>1</v>
      </c>
      <c r="G13" t="s">
        <v>155</v>
      </c>
      <c r="H13" s="57">
        <v>0.17799999999999999</v>
      </c>
      <c r="I13" s="57">
        <v>0.17799999999999999</v>
      </c>
      <c r="J13" s="56">
        <v>-43.81</v>
      </c>
      <c r="K13" s="56">
        <v>-135.30000000000001</v>
      </c>
      <c r="L13" s="56">
        <v>0</v>
      </c>
      <c r="M13" s="56">
        <v>0</v>
      </c>
      <c r="N13" s="56">
        <v>-72.08</v>
      </c>
      <c r="O13" s="56">
        <v>0</v>
      </c>
      <c r="P13" s="56">
        <v>0</v>
      </c>
      <c r="Q13" s="56">
        <v>0</v>
      </c>
      <c r="R13" s="56">
        <v>0</v>
      </c>
      <c r="S13" s="56">
        <v>-71.599999999999994</v>
      </c>
      <c r="T13" s="56">
        <v>0</v>
      </c>
      <c r="U13" s="56">
        <v>0</v>
      </c>
      <c r="V13" s="146">
        <v>0</v>
      </c>
      <c r="W13" s="146"/>
      <c r="X13" s="139"/>
      <c r="Y13" s="146"/>
      <c r="AC13" s="139"/>
      <c r="AH13" s="139"/>
      <c r="AJ13" s="139"/>
      <c r="AL13" s="139"/>
      <c r="AN13" s="139"/>
      <c r="AR13" s="56"/>
      <c r="AS13" s="56"/>
      <c r="AU13" s="139"/>
    </row>
    <row r="14" spans="1:48" x14ac:dyDescent="0.25">
      <c r="A14" s="8">
        <v>512.29999999999995</v>
      </c>
      <c r="B14" t="s">
        <v>288</v>
      </c>
      <c r="C14" t="s">
        <v>198</v>
      </c>
      <c r="D14" s="58">
        <v>1</v>
      </c>
      <c r="V14" s="146"/>
      <c r="W14" s="146"/>
      <c r="X14" s="139"/>
      <c r="Y14" s="146"/>
      <c r="AC14" s="139"/>
      <c r="AH14" s="139"/>
      <c r="AJ14" s="139"/>
      <c r="AL14" s="139"/>
      <c r="AN14" s="139"/>
      <c r="AR14" s="56"/>
      <c r="AS14" s="56"/>
      <c r="AU14" s="139"/>
    </row>
    <row r="15" spans="1:48" x14ac:dyDescent="0.25">
      <c r="A15" s="8">
        <v>512.4</v>
      </c>
      <c r="B15" t="s">
        <v>161</v>
      </c>
      <c r="C15" t="s">
        <v>208</v>
      </c>
      <c r="D15" s="58">
        <v>1</v>
      </c>
      <c r="G15" t="s">
        <v>155</v>
      </c>
      <c r="H15" s="57">
        <v>3.0000000000000001E-3</v>
      </c>
      <c r="I15" s="57">
        <v>3.0000000000000001E-3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-2.6</v>
      </c>
      <c r="R15" s="56">
        <v>0</v>
      </c>
      <c r="S15" s="56">
        <v>0</v>
      </c>
      <c r="T15" s="56">
        <v>0</v>
      </c>
      <c r="U15" s="56">
        <v>-2.4</v>
      </c>
      <c r="V15" s="146">
        <v>-26</v>
      </c>
      <c r="W15" s="146"/>
      <c r="X15" s="139"/>
      <c r="Y15" s="146">
        <v>-6</v>
      </c>
      <c r="Z15" s="56"/>
      <c r="AA15" s="139">
        <v>-25.2</v>
      </c>
      <c r="AC15" s="139">
        <v>-8</v>
      </c>
      <c r="AD15"/>
      <c r="AE15" s="139">
        <v>-1</v>
      </c>
      <c r="AH15" s="139"/>
      <c r="AI15" s="139">
        <v>-4.8</v>
      </c>
      <c r="AJ15" s="139"/>
      <c r="AL15" s="139"/>
      <c r="AN15" s="139"/>
      <c r="AR15" s="56"/>
      <c r="AS15" s="56"/>
      <c r="AU15" s="139"/>
    </row>
    <row r="16" spans="1:48" x14ac:dyDescent="0.25">
      <c r="A16" s="8">
        <v>513.1</v>
      </c>
      <c r="B16" t="s">
        <v>101</v>
      </c>
      <c r="C16" s="9" t="s">
        <v>8</v>
      </c>
      <c r="D16" s="58">
        <v>1</v>
      </c>
      <c r="G16" t="s">
        <v>155</v>
      </c>
      <c r="H16" s="57">
        <v>2.4E-2</v>
      </c>
      <c r="I16" s="57">
        <v>2.4E-2</v>
      </c>
      <c r="J16" s="56">
        <v>0</v>
      </c>
      <c r="K16" s="56">
        <v>-13.72</v>
      </c>
      <c r="L16" s="56">
        <v>0</v>
      </c>
      <c r="M16" s="56">
        <v>0</v>
      </c>
      <c r="N16" s="56">
        <v>0</v>
      </c>
      <c r="O16" s="56">
        <v>0</v>
      </c>
      <c r="P16" s="56">
        <v>-29.98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  <c r="V16" s="146">
        <v>-43.7</v>
      </c>
      <c r="W16" s="146"/>
      <c r="X16" s="139"/>
      <c r="Y16" s="146">
        <v>-409.95</v>
      </c>
      <c r="AA16" s="139">
        <v>-36.83</v>
      </c>
      <c r="AC16" s="139">
        <v>-16.07</v>
      </c>
      <c r="AD16" s="56"/>
      <c r="AE16" s="139">
        <v>-31.64</v>
      </c>
      <c r="AG16" s="139">
        <v>-63.24</v>
      </c>
      <c r="AH16" s="139"/>
      <c r="AI16" s="139">
        <v>-53.15</v>
      </c>
      <c r="AJ16" s="139"/>
      <c r="AK16" s="139">
        <v>-100.76</v>
      </c>
      <c r="AL16" s="139"/>
      <c r="AN16" s="139"/>
      <c r="AR16" s="56"/>
      <c r="AS16" s="56"/>
      <c r="AU16" s="139"/>
    </row>
    <row r="17" spans="1:47" x14ac:dyDescent="0.25">
      <c r="A17" s="8">
        <v>518.04999999999995</v>
      </c>
      <c r="B17" t="s">
        <v>235</v>
      </c>
      <c r="C17" t="s">
        <v>208</v>
      </c>
      <c r="D17" s="58">
        <v>1</v>
      </c>
      <c r="V17" s="146">
        <v>0</v>
      </c>
      <c r="W17" s="146"/>
      <c r="X17" s="139"/>
      <c r="Y17" s="146"/>
      <c r="AC17" s="139"/>
      <c r="AH17" s="139"/>
      <c r="AJ17" s="139"/>
      <c r="AL17" s="139"/>
      <c r="AN17" s="139"/>
      <c r="AR17" s="56"/>
      <c r="AS17" s="56"/>
      <c r="AU17" s="139"/>
    </row>
    <row r="18" spans="1:47" x14ac:dyDescent="0.25">
      <c r="A18" s="8">
        <v>518.07000000000005</v>
      </c>
      <c r="B18" t="s">
        <v>117</v>
      </c>
      <c r="C18" t="s">
        <v>208</v>
      </c>
      <c r="D18" s="58">
        <v>1</v>
      </c>
      <c r="G18" t="s">
        <v>155</v>
      </c>
      <c r="H18" s="57">
        <v>1.0489999999999999</v>
      </c>
      <c r="I18" s="57">
        <v>1.0489999999999999</v>
      </c>
      <c r="J18" s="56">
        <v>0</v>
      </c>
      <c r="K18" s="56">
        <v>0</v>
      </c>
      <c r="L18" s="56">
        <v>-474.94</v>
      </c>
      <c r="M18" s="56">
        <v>0</v>
      </c>
      <c r="N18" s="56">
        <v>0</v>
      </c>
      <c r="O18" s="56">
        <v>-474.94</v>
      </c>
      <c r="P18" s="56">
        <v>0</v>
      </c>
      <c r="Q18" s="56">
        <v>0</v>
      </c>
      <c r="R18" s="56">
        <v>-474.94</v>
      </c>
      <c r="S18" s="56">
        <v>0</v>
      </c>
      <c r="T18" s="56">
        <v>0</v>
      </c>
      <c r="U18" s="56">
        <v>-474.94</v>
      </c>
      <c r="V18" s="146">
        <v>-474.94</v>
      </c>
      <c r="W18" s="146"/>
      <c r="X18" s="139"/>
      <c r="Y18" s="146"/>
      <c r="AC18" s="139"/>
      <c r="AH18" s="139"/>
      <c r="AJ18" s="139"/>
      <c r="AL18" s="139"/>
      <c r="AN18" s="139"/>
      <c r="AR18" s="56"/>
      <c r="AS18" s="56"/>
      <c r="AU18" s="139"/>
    </row>
    <row r="19" spans="1:47" x14ac:dyDescent="0.25">
      <c r="A19" s="8">
        <v>518.1</v>
      </c>
      <c r="B19" t="s">
        <v>102</v>
      </c>
      <c r="C19" t="s">
        <v>208</v>
      </c>
      <c r="D19" s="58">
        <v>1</v>
      </c>
      <c r="G19" t="s">
        <v>155</v>
      </c>
      <c r="H19" s="57">
        <v>0.33</v>
      </c>
      <c r="I19" s="57">
        <v>0.33</v>
      </c>
      <c r="J19" s="56">
        <v>-52.68</v>
      </c>
      <c r="K19" s="56">
        <v>-105.22</v>
      </c>
      <c r="L19" s="56">
        <v>-101.96</v>
      </c>
      <c r="M19" s="56">
        <v>-26.22</v>
      </c>
      <c r="N19" s="56">
        <v>-49.12</v>
      </c>
      <c r="O19" s="56">
        <v>-57.72</v>
      </c>
      <c r="P19" s="56">
        <v>-32.72</v>
      </c>
      <c r="Q19" s="56">
        <v>-32.72</v>
      </c>
      <c r="R19" s="56">
        <v>-53.14</v>
      </c>
      <c r="S19" s="56">
        <v>-45.14</v>
      </c>
      <c r="T19" s="56">
        <v>-20.27</v>
      </c>
      <c r="U19" s="56">
        <v>-20.27</v>
      </c>
      <c r="V19" s="146">
        <v>-322.45999999999998</v>
      </c>
      <c r="W19" s="146"/>
      <c r="X19" s="139"/>
      <c r="Y19" s="146">
        <v>-1448.01</v>
      </c>
      <c r="AA19" s="139">
        <v>-1032.07</v>
      </c>
      <c r="AC19" s="139">
        <v>-454.67</v>
      </c>
      <c r="AD19" s="56"/>
      <c r="AE19" s="139">
        <v>-3752.49</v>
      </c>
      <c r="AG19" s="139">
        <v>-963.83</v>
      </c>
      <c r="AH19" s="139"/>
      <c r="AI19" s="139">
        <v>-105.53</v>
      </c>
      <c r="AJ19" s="139"/>
      <c r="AK19" s="139">
        <v>-158.75</v>
      </c>
      <c r="AL19" s="139"/>
      <c r="AN19" s="139"/>
      <c r="AR19" s="56"/>
      <c r="AS19" s="56"/>
      <c r="AU19" s="139"/>
    </row>
    <row r="20" spans="1:47" x14ac:dyDescent="0.25">
      <c r="A20" s="8">
        <v>518.20000000000005</v>
      </c>
      <c r="B20" t="s">
        <v>162</v>
      </c>
      <c r="C20" t="s">
        <v>208</v>
      </c>
      <c r="D20" s="58">
        <v>1</v>
      </c>
      <c r="G20" t="s">
        <v>155</v>
      </c>
      <c r="H20" s="57">
        <v>2.8130000000000002</v>
      </c>
      <c r="I20" s="57">
        <v>2.8130000000000002</v>
      </c>
      <c r="J20" s="56">
        <v>-596.66999999999996</v>
      </c>
      <c r="K20" s="56">
        <v>0</v>
      </c>
      <c r="L20" s="56">
        <v>0</v>
      </c>
      <c r="M20" s="56">
        <v>0</v>
      </c>
      <c r="N20" s="56">
        <v>-3003.33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-609.16999999999996</v>
      </c>
      <c r="U20" s="56">
        <v>-883.33</v>
      </c>
      <c r="V20" s="146">
        <v>0</v>
      </c>
      <c r="W20" s="146"/>
      <c r="X20" s="139"/>
      <c r="Y20" s="146"/>
      <c r="AC20" s="139"/>
      <c r="AH20" s="139"/>
      <c r="AJ20" s="139"/>
      <c r="AL20" s="139"/>
      <c r="AN20" s="139"/>
      <c r="AR20" s="56"/>
      <c r="AS20" s="56"/>
      <c r="AU20" s="139"/>
    </row>
    <row r="21" spans="1:47" x14ac:dyDescent="0.25">
      <c r="A21" s="8">
        <v>518.21</v>
      </c>
      <c r="B21" t="s">
        <v>103</v>
      </c>
      <c r="C21" t="s">
        <v>208</v>
      </c>
      <c r="D21" s="58">
        <v>1</v>
      </c>
      <c r="G21" t="s">
        <v>155</v>
      </c>
      <c r="H21" s="57">
        <v>20.992999999999999</v>
      </c>
      <c r="I21" s="57">
        <v>20.992999999999999</v>
      </c>
      <c r="J21" s="56">
        <v>-2250</v>
      </c>
      <c r="K21" s="56">
        <v>-1300</v>
      </c>
      <c r="L21" s="56">
        <v>-1000</v>
      </c>
      <c r="M21" s="56">
        <v>-1600</v>
      </c>
      <c r="N21" s="56">
        <v>-1580</v>
      </c>
      <c r="O21" s="56">
        <v>-3616</v>
      </c>
      <c r="P21" s="56">
        <v>-780</v>
      </c>
      <c r="Q21" s="56">
        <v>0</v>
      </c>
      <c r="R21" s="56">
        <v>-1495</v>
      </c>
      <c r="S21" s="56">
        <v>-5491</v>
      </c>
      <c r="T21" s="56">
        <v>-9460</v>
      </c>
      <c r="U21" s="56">
        <v>-9434.86</v>
      </c>
      <c r="V21" s="146">
        <v>0</v>
      </c>
      <c r="W21" s="146"/>
      <c r="X21" s="139"/>
      <c r="Y21" s="146"/>
      <c r="AC21" s="139"/>
      <c r="AH21" s="139"/>
      <c r="AJ21" s="139"/>
      <c r="AL21" s="139"/>
      <c r="AN21" s="139"/>
      <c r="AR21" s="56"/>
      <c r="AS21" s="56"/>
      <c r="AU21" s="139"/>
    </row>
    <row r="22" spans="1:47" x14ac:dyDescent="0.25">
      <c r="A22" s="8">
        <v>518.22</v>
      </c>
      <c r="B22" t="s">
        <v>141</v>
      </c>
      <c r="C22" t="s">
        <v>208</v>
      </c>
      <c r="D22" s="58">
        <v>1</v>
      </c>
      <c r="G22" t="s">
        <v>155</v>
      </c>
      <c r="H22" s="57">
        <v>4.7610000000000001</v>
      </c>
      <c r="I22" s="57">
        <v>4.7610000000000001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-5213.87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-3405.3</v>
      </c>
      <c r="V22" s="146">
        <v>0</v>
      </c>
      <c r="W22" s="146"/>
      <c r="X22" s="139"/>
      <c r="Y22" s="146"/>
      <c r="AC22" s="139"/>
      <c r="AH22" s="139"/>
      <c r="AJ22" s="139"/>
      <c r="AL22" s="139"/>
      <c r="AN22" s="139"/>
      <c r="AR22" s="56"/>
      <c r="AS22" s="56"/>
      <c r="AU22" s="139"/>
    </row>
    <row r="23" spans="1:47" x14ac:dyDescent="0.25">
      <c r="A23" s="8">
        <v>518.23</v>
      </c>
      <c r="B23" t="s">
        <v>142</v>
      </c>
      <c r="C23" t="s">
        <v>208</v>
      </c>
      <c r="D23" s="58">
        <v>1</v>
      </c>
      <c r="G23" t="s">
        <v>155</v>
      </c>
      <c r="H23" s="57">
        <v>2.7519999999999998</v>
      </c>
      <c r="I23" s="57">
        <v>2.7519999999999998</v>
      </c>
      <c r="J23" s="56">
        <v>0</v>
      </c>
      <c r="K23" s="56">
        <v>0</v>
      </c>
      <c r="L23" s="56">
        <v>0</v>
      </c>
      <c r="M23" s="56">
        <v>0</v>
      </c>
      <c r="N23" s="56">
        <v>-1162.8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-832.6</v>
      </c>
      <c r="U23" s="56">
        <v>-2987.38</v>
      </c>
      <c r="V23" s="146">
        <v>0</v>
      </c>
      <c r="W23" s="146"/>
      <c r="X23" s="139"/>
      <c r="Y23" s="146"/>
      <c r="AC23" s="139"/>
      <c r="AH23" s="139"/>
      <c r="AJ23" s="139"/>
      <c r="AL23" s="139"/>
      <c r="AN23" s="139"/>
      <c r="AR23" s="56"/>
      <c r="AS23" s="56"/>
      <c r="AU23" s="139"/>
    </row>
    <row r="24" spans="1:47" x14ac:dyDescent="0.25">
      <c r="A24" s="8">
        <v>518.24</v>
      </c>
      <c r="B24" t="s">
        <v>252</v>
      </c>
      <c r="C24" t="s">
        <v>208</v>
      </c>
      <c r="D24" s="58">
        <v>1</v>
      </c>
      <c r="V24" s="146">
        <v>0</v>
      </c>
      <c r="W24" s="146"/>
      <c r="X24" s="139"/>
      <c r="Y24" s="146"/>
      <c r="AC24" s="139"/>
      <c r="AH24" s="139"/>
      <c r="AJ24" s="139"/>
      <c r="AL24" s="139"/>
      <c r="AN24" s="139"/>
      <c r="AR24" s="56"/>
      <c r="AS24" s="56"/>
      <c r="AU24" s="139"/>
    </row>
    <row r="25" spans="1:47" x14ac:dyDescent="0.25">
      <c r="A25" s="8">
        <v>518.26</v>
      </c>
      <c r="B25" t="s">
        <v>143</v>
      </c>
      <c r="C25" t="s">
        <v>208</v>
      </c>
      <c r="D25" s="58">
        <v>1</v>
      </c>
      <c r="G25" t="s">
        <v>155</v>
      </c>
      <c r="H25" s="57">
        <v>0.746</v>
      </c>
      <c r="I25" s="57">
        <v>0.746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-13.2</v>
      </c>
      <c r="P25" s="56">
        <v>0</v>
      </c>
      <c r="Q25" s="56">
        <v>0</v>
      </c>
      <c r="R25" s="56">
        <v>-50</v>
      </c>
      <c r="S25" s="56">
        <v>0</v>
      </c>
      <c r="T25" s="56">
        <v>0</v>
      </c>
      <c r="U25" s="56">
        <v>-1288.27</v>
      </c>
      <c r="V25" s="146">
        <v>0</v>
      </c>
      <c r="W25" s="146"/>
      <c r="X25" s="139"/>
      <c r="Y25" s="146"/>
      <c r="AC25" s="139"/>
      <c r="AH25" s="139"/>
      <c r="AJ25" s="139"/>
      <c r="AL25" s="139"/>
      <c r="AN25" s="139"/>
      <c r="AR25" s="56"/>
      <c r="AS25" s="56"/>
      <c r="AU25" s="139"/>
    </row>
    <row r="26" spans="1:47" x14ac:dyDescent="0.25">
      <c r="A26" s="8">
        <v>518.27</v>
      </c>
      <c r="B26" t="s">
        <v>253</v>
      </c>
      <c r="C26" t="s">
        <v>208</v>
      </c>
      <c r="D26" s="58">
        <v>1</v>
      </c>
      <c r="V26" s="146">
        <v>0</v>
      </c>
      <c r="W26" s="146"/>
      <c r="X26" s="139"/>
      <c r="Y26" s="146"/>
      <c r="AC26" s="139"/>
      <c r="AH26" s="139"/>
      <c r="AJ26" s="139"/>
      <c r="AL26" s="139"/>
      <c r="AN26" s="139"/>
      <c r="AR26" s="56"/>
      <c r="AS26" s="56"/>
      <c r="AU26" s="139"/>
    </row>
    <row r="27" spans="1:47" x14ac:dyDescent="0.25">
      <c r="A27" s="8">
        <v>518.29999999999995</v>
      </c>
      <c r="B27" t="s">
        <v>104</v>
      </c>
      <c r="C27" t="s">
        <v>208</v>
      </c>
      <c r="D27" s="58">
        <v>1</v>
      </c>
      <c r="G27" t="s">
        <v>155</v>
      </c>
      <c r="H27" s="57">
        <v>18.094999999999999</v>
      </c>
      <c r="I27" s="57">
        <v>18.094999999999999</v>
      </c>
      <c r="J27" s="56">
        <v>-1835.56</v>
      </c>
      <c r="K27" s="56">
        <v>0</v>
      </c>
      <c r="L27" s="56">
        <v>0</v>
      </c>
      <c r="M27" s="56">
        <v>-148.19999999999999</v>
      </c>
      <c r="N27" s="56">
        <v>-10961.04</v>
      </c>
      <c r="O27" s="56">
        <v>-217.93</v>
      </c>
      <c r="P27" s="56">
        <v>0</v>
      </c>
      <c r="Q27" s="56">
        <v>0</v>
      </c>
      <c r="R27" s="56">
        <v>-799.07</v>
      </c>
      <c r="S27" s="56">
        <v>-1835.4</v>
      </c>
      <c r="T27" s="56">
        <v>-5012.76</v>
      </c>
      <c r="U27" s="56">
        <v>-11951.09</v>
      </c>
      <c r="V27" s="146">
        <v>0</v>
      </c>
      <c r="W27" s="146"/>
      <c r="X27" s="139"/>
      <c r="Y27" s="146">
        <v>-97.58</v>
      </c>
      <c r="AC27" s="139"/>
      <c r="AH27" s="139"/>
      <c r="AJ27" s="139"/>
      <c r="AL27" s="139"/>
      <c r="AN27" s="139"/>
      <c r="AR27" s="56"/>
      <c r="AS27" s="56"/>
      <c r="AU27" s="139"/>
    </row>
    <row r="28" spans="1:47" x14ac:dyDescent="0.25">
      <c r="A28" s="8">
        <v>518.4</v>
      </c>
      <c r="B28" t="s">
        <v>163</v>
      </c>
      <c r="C28" s="9" t="s">
        <v>9</v>
      </c>
      <c r="D28" s="58">
        <v>1</v>
      </c>
      <c r="G28" t="s">
        <v>155</v>
      </c>
      <c r="H28" s="57">
        <v>7.2930000000000001</v>
      </c>
      <c r="I28" s="57">
        <v>7.2930000000000001</v>
      </c>
      <c r="J28" s="56">
        <v>0</v>
      </c>
      <c r="K28" s="56">
        <v>0</v>
      </c>
      <c r="L28" s="56">
        <v>-3296</v>
      </c>
      <c r="M28" s="56">
        <v>0</v>
      </c>
      <c r="N28" s="56">
        <v>0</v>
      </c>
      <c r="O28" s="56">
        <v>-3296</v>
      </c>
      <c r="P28" s="56">
        <v>0</v>
      </c>
      <c r="Q28" s="56">
        <v>0</v>
      </c>
      <c r="R28" s="56">
        <v>-3296</v>
      </c>
      <c r="S28" s="56">
        <v>0</v>
      </c>
      <c r="T28" s="56">
        <v>0</v>
      </c>
      <c r="U28" s="56">
        <v>-3316</v>
      </c>
      <c r="V28" s="146">
        <v>-13204</v>
      </c>
      <c r="W28" s="146"/>
      <c r="X28" s="139"/>
      <c r="Y28" s="146">
        <v>-13264</v>
      </c>
      <c r="AA28" s="139">
        <v>-13264</v>
      </c>
      <c r="AC28" s="139">
        <v>-13264</v>
      </c>
      <c r="AD28" s="56"/>
      <c r="AE28" s="139">
        <v>-13264</v>
      </c>
      <c r="AG28" s="139">
        <v>-13264</v>
      </c>
      <c r="AH28" s="139"/>
      <c r="AI28" s="139">
        <v>-13264</v>
      </c>
      <c r="AJ28" s="139"/>
      <c r="AK28" s="139">
        <v>-13264</v>
      </c>
      <c r="AL28" s="139"/>
      <c r="AN28" s="139"/>
      <c r="AR28" s="56"/>
      <c r="AS28" s="56"/>
      <c r="AU28" s="139"/>
    </row>
    <row r="29" spans="1:47" x14ac:dyDescent="0.25">
      <c r="A29" s="8">
        <v>518.41</v>
      </c>
      <c r="B29" t="s">
        <v>164</v>
      </c>
      <c r="C29" s="9" t="s">
        <v>10</v>
      </c>
      <c r="D29" s="58">
        <v>1</v>
      </c>
      <c r="G29" t="s">
        <v>155</v>
      </c>
      <c r="H29" s="57">
        <v>2.016</v>
      </c>
      <c r="I29" s="57">
        <v>2.016</v>
      </c>
      <c r="J29" s="56">
        <v>0</v>
      </c>
      <c r="K29" s="56">
        <v>0</v>
      </c>
      <c r="L29" s="56">
        <v>-969.74</v>
      </c>
      <c r="M29" s="56">
        <v>0</v>
      </c>
      <c r="N29" s="56">
        <v>0</v>
      </c>
      <c r="O29" s="56">
        <v>-969.74</v>
      </c>
      <c r="P29" s="56">
        <v>0</v>
      </c>
      <c r="Q29" s="56">
        <v>0</v>
      </c>
      <c r="R29" s="56">
        <v>-969.74</v>
      </c>
      <c r="S29" s="56">
        <v>0</v>
      </c>
      <c r="T29" s="56">
        <v>0</v>
      </c>
      <c r="U29" s="56">
        <v>-740.43</v>
      </c>
      <c r="V29" s="146">
        <v>-3649.65</v>
      </c>
      <c r="W29" s="146"/>
      <c r="X29" s="139"/>
      <c r="Y29" s="146">
        <v>-3654.3</v>
      </c>
      <c r="AA29" s="139">
        <v>-3982.93</v>
      </c>
      <c r="AC29" s="139">
        <v>-3497.34</v>
      </c>
      <c r="AD29" s="56"/>
      <c r="AE29" s="139">
        <v>-3710.44</v>
      </c>
      <c r="AG29" s="139">
        <v>-3958.43</v>
      </c>
      <c r="AH29" s="139"/>
      <c r="AI29" s="139">
        <v>-5816.35</v>
      </c>
      <c r="AJ29" s="139"/>
      <c r="AK29" s="139">
        <v>-5339.64</v>
      </c>
      <c r="AL29" s="139"/>
      <c r="AN29" s="139"/>
      <c r="AR29" s="56"/>
      <c r="AS29" s="56"/>
      <c r="AU29" s="139"/>
    </row>
    <row r="30" spans="1:47" x14ac:dyDescent="0.25">
      <c r="A30" s="8">
        <v>518.41999999999996</v>
      </c>
      <c r="B30" t="s">
        <v>105</v>
      </c>
      <c r="C30" s="9" t="s">
        <v>11</v>
      </c>
      <c r="D30" s="58">
        <v>1</v>
      </c>
      <c r="G30" t="s">
        <v>155</v>
      </c>
      <c r="H30" s="57">
        <v>0.629</v>
      </c>
      <c r="I30" s="57">
        <v>0.629</v>
      </c>
      <c r="J30" s="56">
        <v>-103.57</v>
      </c>
      <c r="K30" s="56">
        <v>-103.57</v>
      </c>
      <c r="L30" s="56">
        <v>-103.57</v>
      </c>
      <c r="M30" s="56">
        <v>-103.57</v>
      </c>
      <c r="N30" s="56">
        <v>-103.57</v>
      </c>
      <c r="O30" s="56">
        <v>-103.57</v>
      </c>
      <c r="P30" s="56">
        <v>-103.57</v>
      </c>
      <c r="Q30" s="56">
        <v>0</v>
      </c>
      <c r="R30" s="56">
        <v>-103.57</v>
      </c>
      <c r="S30" s="56">
        <v>-103.57</v>
      </c>
      <c r="T30" s="56">
        <v>-103.57</v>
      </c>
      <c r="U30" s="56">
        <v>-103.57</v>
      </c>
      <c r="V30" s="146">
        <v>-1139.27</v>
      </c>
      <c r="W30" s="146"/>
      <c r="X30" s="139"/>
      <c r="Y30" s="146">
        <v>-1139.27</v>
      </c>
      <c r="AA30" s="139">
        <v>-1139.27</v>
      </c>
      <c r="AC30" s="139">
        <v>-1139.27</v>
      </c>
      <c r="AD30" s="56"/>
      <c r="AE30" s="139">
        <v>-1139.27</v>
      </c>
      <c r="AG30" s="139">
        <v>-1139.27</v>
      </c>
      <c r="AH30" s="139"/>
      <c r="AI30" s="139">
        <v>-1151.67</v>
      </c>
      <c r="AJ30" s="139"/>
      <c r="AK30" s="139">
        <v>-1139.27</v>
      </c>
      <c r="AL30" s="139"/>
      <c r="AN30" s="139"/>
      <c r="AR30" s="56"/>
      <c r="AS30" s="56"/>
      <c r="AU30" s="139"/>
    </row>
    <row r="31" spans="1:47" x14ac:dyDescent="0.25">
      <c r="A31" s="8">
        <v>518.42999999999995</v>
      </c>
      <c r="B31" t="s">
        <v>287</v>
      </c>
      <c r="C31" t="s">
        <v>208</v>
      </c>
      <c r="D31" s="58">
        <v>1</v>
      </c>
      <c r="V31" s="146">
        <v>0</v>
      </c>
      <c r="W31" s="146"/>
      <c r="X31" s="139"/>
      <c r="Y31" s="146"/>
      <c r="AA31" s="139">
        <v>-498.77</v>
      </c>
      <c r="AC31" s="139">
        <v>-579.39</v>
      </c>
      <c r="AD31" s="56"/>
      <c r="AE31" s="139">
        <v>-528.13</v>
      </c>
      <c r="AG31" s="139">
        <v>-587.45000000000005</v>
      </c>
      <c r="AH31" s="139"/>
      <c r="AI31" s="139">
        <v>-677.84</v>
      </c>
      <c r="AJ31" s="139"/>
      <c r="AK31" s="139">
        <v>-645.25</v>
      </c>
      <c r="AL31" s="139"/>
      <c r="AN31" s="139"/>
      <c r="AR31" s="56"/>
      <c r="AS31" s="56"/>
      <c r="AU31" s="139"/>
    </row>
    <row r="32" spans="1:47" x14ac:dyDescent="0.25">
      <c r="A32" s="8">
        <v>518.5</v>
      </c>
      <c r="B32" t="s">
        <v>106</v>
      </c>
      <c r="C32" s="9" t="s">
        <v>39</v>
      </c>
      <c r="D32" s="58">
        <v>1</v>
      </c>
      <c r="G32" t="s">
        <v>155</v>
      </c>
      <c r="H32" s="57">
        <f>' výsledovky 17-22-24'!V364</f>
        <v>0</v>
      </c>
      <c r="I32" s="57">
        <v>1.2730000000000001</v>
      </c>
      <c r="J32" s="56">
        <v>-218.67</v>
      </c>
      <c r="K32" s="56">
        <v>-240.52</v>
      </c>
      <c r="L32" s="56">
        <v>-207.81</v>
      </c>
      <c r="M32" s="56">
        <v>-222.93</v>
      </c>
      <c r="N32" s="56">
        <v>-219.44</v>
      </c>
      <c r="O32" s="56">
        <v>-222.51</v>
      </c>
      <c r="P32" s="56">
        <v>-225.69</v>
      </c>
      <c r="Q32" s="56">
        <v>-214.02</v>
      </c>
      <c r="R32" s="56">
        <v>-167.8</v>
      </c>
      <c r="S32" s="56">
        <v>-178.45</v>
      </c>
      <c r="T32" s="56">
        <v>-187.11</v>
      </c>
      <c r="U32" s="56">
        <v>0</v>
      </c>
      <c r="V32" s="146">
        <v>-2304.9499999999998</v>
      </c>
      <c r="W32" s="146"/>
      <c r="X32" s="139"/>
      <c r="Y32" s="146">
        <v>-1685.09</v>
      </c>
      <c r="AA32" s="139">
        <v>-1301.54</v>
      </c>
      <c r="AC32" s="139">
        <v>-1223.26</v>
      </c>
      <c r="AD32" s="56"/>
      <c r="AE32" s="139">
        <v>-994.26</v>
      </c>
      <c r="AG32" s="139">
        <v>-1180.4100000000001</v>
      </c>
      <c r="AI32" s="139">
        <v>-1254.8800000000001</v>
      </c>
      <c r="AK32" s="139">
        <v>-1262.02</v>
      </c>
      <c r="AR32" s="56"/>
      <c r="AS32" s="56"/>
      <c r="AU32" s="139"/>
    </row>
    <row r="33" spans="1:47" x14ac:dyDescent="0.25">
      <c r="A33" s="8">
        <v>518.51</v>
      </c>
      <c r="B33" t="s">
        <v>285</v>
      </c>
      <c r="C33" s="9" t="s">
        <v>10</v>
      </c>
      <c r="D33" s="58">
        <v>1</v>
      </c>
      <c r="G33" t="s">
        <v>155</v>
      </c>
      <c r="H33" s="57">
        <f>' výsledovky 17-22-24'!V365</f>
        <v>0</v>
      </c>
      <c r="I33" s="57">
        <v>1.2730000000000001</v>
      </c>
      <c r="J33" s="56">
        <v>-218.67</v>
      </c>
      <c r="K33" s="56">
        <v>-240.52</v>
      </c>
      <c r="L33" s="56">
        <v>-207.81</v>
      </c>
      <c r="M33" s="56">
        <v>-222.93</v>
      </c>
      <c r="N33" s="56">
        <v>-219.44</v>
      </c>
      <c r="O33" s="56">
        <v>-222.51</v>
      </c>
      <c r="P33" s="56">
        <v>-225.69</v>
      </c>
      <c r="Q33" s="56">
        <v>-214.02</v>
      </c>
      <c r="R33" s="56">
        <v>-167.8</v>
      </c>
      <c r="S33" s="56">
        <v>-178.45</v>
      </c>
      <c r="T33" s="56">
        <v>-187.11</v>
      </c>
      <c r="U33" s="56">
        <v>0</v>
      </c>
      <c r="V33" s="146">
        <v>0</v>
      </c>
      <c r="W33" s="146"/>
      <c r="X33" s="139"/>
      <c r="Y33" s="146">
        <v>0</v>
      </c>
      <c r="AA33" s="139">
        <v>-19605.919999999998</v>
      </c>
      <c r="AC33" s="139"/>
      <c r="AH33" s="139"/>
      <c r="AJ33" s="139"/>
      <c r="AL33" s="139"/>
      <c r="AN33" s="139"/>
      <c r="AR33" s="56"/>
      <c r="AS33" s="56"/>
      <c r="AU33" s="139"/>
    </row>
    <row r="34" spans="1:47" x14ac:dyDescent="0.25">
      <c r="A34" s="8">
        <v>518.6</v>
      </c>
      <c r="B34" t="s">
        <v>165</v>
      </c>
      <c r="C34" t="s">
        <v>207</v>
      </c>
      <c r="D34" s="58">
        <v>1</v>
      </c>
      <c r="G34" t="s">
        <v>155</v>
      </c>
      <c r="H34" s="57">
        <v>0.107</v>
      </c>
      <c r="I34" s="57">
        <v>0.107</v>
      </c>
      <c r="J34" s="56">
        <v>-93.4</v>
      </c>
      <c r="K34" s="56">
        <v>-4.1500000000000004</v>
      </c>
      <c r="L34" s="56">
        <v>-5.3</v>
      </c>
      <c r="M34" s="56">
        <v>-1.25</v>
      </c>
      <c r="N34" s="56">
        <v>-1.4</v>
      </c>
      <c r="O34" s="56">
        <v>-3.4</v>
      </c>
      <c r="P34" s="56">
        <v>-2.7</v>
      </c>
      <c r="Q34" s="56">
        <v>-40.22</v>
      </c>
      <c r="R34" s="56">
        <v>-5</v>
      </c>
      <c r="S34" s="56">
        <v>-0.5</v>
      </c>
      <c r="T34" s="56">
        <v>-5.2</v>
      </c>
      <c r="U34" s="56">
        <v>-30.45</v>
      </c>
      <c r="V34" s="146">
        <v>-169.57</v>
      </c>
      <c r="W34" s="146"/>
      <c r="X34" s="139"/>
      <c r="Y34" s="146">
        <v>-106.8</v>
      </c>
      <c r="AA34" s="139">
        <v>-40.700000000000003</v>
      </c>
      <c r="AC34" s="139">
        <v>-12.6</v>
      </c>
      <c r="AD34" s="56"/>
      <c r="AE34" s="139">
        <v>-22</v>
      </c>
      <c r="AG34" s="139">
        <v>-16.05</v>
      </c>
      <c r="AI34" s="139">
        <v>-35.450000000000003</v>
      </c>
      <c r="AK34" s="139">
        <v>-52.5</v>
      </c>
      <c r="AR34" s="56"/>
      <c r="AS34" s="56"/>
      <c r="AT34" s="8"/>
      <c r="AU34" s="139"/>
    </row>
    <row r="35" spans="1:47" x14ac:dyDescent="0.25">
      <c r="A35" s="8">
        <v>518.70000000000005</v>
      </c>
      <c r="B35" t="s">
        <v>166</v>
      </c>
      <c r="C35" t="s">
        <v>12</v>
      </c>
      <c r="D35" s="58">
        <v>1</v>
      </c>
      <c r="G35" t="s">
        <v>155</v>
      </c>
      <c r="H35" s="57">
        <v>1.1599999999999999</v>
      </c>
      <c r="I35" s="57">
        <v>1.1599999999999999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-2100</v>
      </c>
      <c r="V35" s="146">
        <v>-2100</v>
      </c>
      <c r="W35" s="146"/>
      <c r="X35" s="139"/>
      <c r="Y35" s="146">
        <v>-2100</v>
      </c>
      <c r="AA35" s="139">
        <v>-933</v>
      </c>
      <c r="AC35" s="139">
        <v>-2100</v>
      </c>
      <c r="AE35" s="139">
        <v>-10400</v>
      </c>
      <c r="AG35" s="139">
        <v>-12000</v>
      </c>
      <c r="AI35" s="139">
        <v>-12000</v>
      </c>
      <c r="AK35" s="139">
        <v>-13000</v>
      </c>
      <c r="AR35" s="56"/>
      <c r="AS35" s="56"/>
      <c r="AT35" s="8"/>
      <c r="AU35" s="139"/>
    </row>
    <row r="36" spans="1:47" x14ac:dyDescent="0.25">
      <c r="A36" s="8">
        <v>518.71</v>
      </c>
      <c r="B36" t="s">
        <v>167</v>
      </c>
      <c r="C36" t="s">
        <v>242</v>
      </c>
      <c r="D36" s="58">
        <v>1</v>
      </c>
      <c r="G36" t="s">
        <v>155</v>
      </c>
      <c r="H36" s="57">
        <v>5.468</v>
      </c>
      <c r="I36" s="57">
        <v>5.468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-9900</v>
      </c>
      <c r="V36" s="146">
        <v>-9900</v>
      </c>
      <c r="W36" s="146"/>
      <c r="X36" s="139"/>
      <c r="Y36" s="146">
        <v>-10800</v>
      </c>
      <c r="AA36" s="139">
        <v>-10800</v>
      </c>
      <c r="AC36" s="139">
        <v>-10800</v>
      </c>
      <c r="AE36" s="139">
        <v>-10800</v>
      </c>
      <c r="AG36" s="139">
        <v>-10800</v>
      </c>
      <c r="AI36" s="139">
        <v>-10800</v>
      </c>
      <c r="AK36" s="139">
        <v>-10800</v>
      </c>
      <c r="AR36" s="56"/>
      <c r="AS36" s="56"/>
      <c r="AT36" s="8"/>
      <c r="AU36" s="139"/>
    </row>
    <row r="37" spans="1:47" x14ac:dyDescent="0.25">
      <c r="A37" s="8">
        <v>518.79999999999995</v>
      </c>
      <c r="B37" t="s">
        <v>108</v>
      </c>
      <c r="C37" t="s">
        <v>208</v>
      </c>
      <c r="D37" s="58">
        <v>1</v>
      </c>
      <c r="G37" t="s">
        <v>155</v>
      </c>
      <c r="H37" s="57">
        <v>0.42499999999999999</v>
      </c>
      <c r="I37" s="57">
        <v>0.42499999999999999</v>
      </c>
      <c r="J37" s="56">
        <v>0</v>
      </c>
      <c r="K37" s="56">
        <v>-770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146">
        <v>-770</v>
      </c>
      <c r="W37" s="146"/>
      <c r="X37" s="139"/>
      <c r="Y37" s="146"/>
      <c r="AC37" s="139"/>
      <c r="AR37" s="56"/>
      <c r="AS37" s="56"/>
      <c r="AT37" s="8"/>
      <c r="AU37" s="139"/>
    </row>
    <row r="38" spans="1:47" x14ac:dyDescent="0.25">
      <c r="A38" s="8">
        <v>518.9</v>
      </c>
      <c r="B38" t="s">
        <v>118</v>
      </c>
      <c r="C38" t="s">
        <v>208</v>
      </c>
      <c r="D38" s="58">
        <v>1</v>
      </c>
      <c r="G38" t="s">
        <v>155</v>
      </c>
      <c r="H38" s="57">
        <v>3.0000000000000001E-3</v>
      </c>
      <c r="I38" s="57">
        <v>3.0000000000000001E-3</v>
      </c>
      <c r="J38" s="56">
        <v>-6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146">
        <v>0</v>
      </c>
      <c r="W38" s="146"/>
      <c r="X38" s="139"/>
      <c r="Y38" s="146"/>
      <c r="AA38" s="139">
        <v>-2</v>
      </c>
      <c r="AC38" s="139"/>
      <c r="AR38" s="56"/>
      <c r="AS38" s="56"/>
      <c r="AT38" s="8"/>
      <c r="AU38" s="139"/>
    </row>
    <row r="39" spans="1:47" x14ac:dyDescent="0.25">
      <c r="A39" s="8">
        <v>518.91999999999996</v>
      </c>
      <c r="B39" t="s">
        <v>168</v>
      </c>
      <c r="C39" t="s">
        <v>208</v>
      </c>
      <c r="D39" s="58">
        <v>1</v>
      </c>
      <c r="G39" t="s">
        <v>155</v>
      </c>
      <c r="H39" s="57">
        <v>1.0720000000000001</v>
      </c>
      <c r="I39" s="57">
        <v>1.0720000000000001</v>
      </c>
      <c r="J39" s="56">
        <v>-148</v>
      </c>
      <c r="K39" s="56">
        <v>-1054</v>
      </c>
      <c r="L39" s="56">
        <v>-28</v>
      </c>
      <c r="M39" s="56">
        <v>-58</v>
      </c>
      <c r="N39" s="56">
        <v>-28</v>
      </c>
      <c r="O39" s="56">
        <v>-28</v>
      </c>
      <c r="P39" s="56">
        <v>-226.55</v>
      </c>
      <c r="Q39" s="56">
        <v>-28</v>
      </c>
      <c r="R39" s="56">
        <v>-28</v>
      </c>
      <c r="S39" s="56">
        <v>-259</v>
      </c>
      <c r="T39" s="56">
        <v>-28</v>
      </c>
      <c r="U39" s="56">
        <v>-28</v>
      </c>
      <c r="V39" s="146">
        <v>-1512</v>
      </c>
      <c r="W39" s="146"/>
      <c r="X39" s="139"/>
      <c r="Y39" s="146">
        <v>-2140.4899999999998</v>
      </c>
      <c r="AA39" s="139">
        <v>-1801.97</v>
      </c>
      <c r="AC39" s="139">
        <v>-1228.4000000000001</v>
      </c>
      <c r="AD39" s="56"/>
      <c r="AE39" s="139">
        <v>-1172.8499999999999</v>
      </c>
      <c r="AG39" s="139">
        <v>-706.83</v>
      </c>
      <c r="AI39" s="139">
        <v>-718.59</v>
      </c>
      <c r="AK39" s="139">
        <v>-739.9</v>
      </c>
      <c r="AR39" s="56"/>
      <c r="AS39" s="56"/>
    </row>
    <row r="40" spans="1:47" x14ac:dyDescent="0.25">
      <c r="A40" s="8">
        <v>521.1</v>
      </c>
      <c r="B40" t="s">
        <v>169</v>
      </c>
      <c r="C40" t="s">
        <v>40</v>
      </c>
      <c r="D40" s="58">
        <v>1</v>
      </c>
      <c r="G40" t="s">
        <v>155</v>
      </c>
      <c r="H40" s="57">
        <v>14.834</v>
      </c>
      <c r="I40" s="57">
        <v>14.834</v>
      </c>
      <c r="J40" s="56">
        <v>-2470.1</v>
      </c>
      <c r="K40" s="56">
        <v>-2778.06</v>
      </c>
      <c r="L40" s="56">
        <v>-2686.63</v>
      </c>
      <c r="M40" s="56">
        <v>-1690</v>
      </c>
      <c r="N40" s="56">
        <v>-1698.35</v>
      </c>
      <c r="O40" s="56">
        <v>-1546.32</v>
      </c>
      <c r="P40" s="56">
        <v>-1488.91</v>
      </c>
      <c r="Q40" s="56">
        <v>-1546.45</v>
      </c>
      <c r="R40" s="56">
        <v>-1773.76</v>
      </c>
      <c r="S40" s="56">
        <v>-1540</v>
      </c>
      <c r="T40" s="56">
        <v>-7638.58</v>
      </c>
      <c r="U40" s="56">
        <v>0</v>
      </c>
      <c r="V40" s="146">
        <v>-11604.24</v>
      </c>
      <c r="W40" s="146"/>
      <c r="X40" s="139"/>
      <c r="Y40" s="146">
        <v>-13205.12</v>
      </c>
      <c r="AA40" s="139">
        <v>-17787.96</v>
      </c>
      <c r="AC40" s="139">
        <v>-18298.72</v>
      </c>
      <c r="AD40" s="56"/>
      <c r="AE40" s="139">
        <v>-18277.03</v>
      </c>
      <c r="AG40" s="139">
        <v>-19891.61</v>
      </c>
      <c r="AI40" s="139">
        <v>-20142.7</v>
      </c>
      <c r="AK40" s="139">
        <v>-22357.7</v>
      </c>
      <c r="AR40" s="56"/>
      <c r="AS40" s="56"/>
    </row>
    <row r="41" spans="1:47" x14ac:dyDescent="0.25">
      <c r="A41" s="8">
        <v>521.20000000000005</v>
      </c>
      <c r="B41" t="s">
        <v>109</v>
      </c>
      <c r="C41" t="s">
        <v>40</v>
      </c>
      <c r="D41" s="58">
        <v>1</v>
      </c>
      <c r="G41" t="s">
        <v>155</v>
      </c>
      <c r="H41" s="57">
        <v>1.2150000000000001</v>
      </c>
      <c r="I41" s="57">
        <v>1.2150000000000001</v>
      </c>
      <c r="J41" s="56">
        <v>-200</v>
      </c>
      <c r="K41" s="56">
        <v>-200</v>
      </c>
      <c r="L41" s="56">
        <v>-200</v>
      </c>
      <c r="M41" s="56">
        <v>-200</v>
      </c>
      <c r="N41" s="56">
        <v>-200</v>
      </c>
      <c r="O41" s="56">
        <v>-200</v>
      </c>
      <c r="P41" s="56">
        <v>-200</v>
      </c>
      <c r="Q41" s="56">
        <v>-200</v>
      </c>
      <c r="R41" s="56">
        <v>-200</v>
      </c>
      <c r="S41" s="56">
        <v>-200</v>
      </c>
      <c r="T41" s="56">
        <v>-200</v>
      </c>
      <c r="U41" s="56">
        <v>0</v>
      </c>
      <c r="V41" s="146">
        <v>-2400</v>
      </c>
      <c r="W41" s="146"/>
      <c r="X41" s="139"/>
      <c r="Y41" s="146">
        <v>-2600</v>
      </c>
      <c r="AA41" s="139">
        <v>-2600</v>
      </c>
      <c r="AC41" s="139">
        <v>-2840</v>
      </c>
      <c r="AD41" s="56"/>
      <c r="AE41" s="139">
        <v>-2640</v>
      </c>
      <c r="AG41" s="139">
        <v>-2640</v>
      </c>
      <c r="AI41" s="139">
        <v>-2640</v>
      </c>
      <c r="AK41" s="139">
        <v>-3500</v>
      </c>
      <c r="AR41" s="56"/>
      <c r="AS41" s="56"/>
    </row>
    <row r="42" spans="1:47" x14ac:dyDescent="0.25">
      <c r="A42" s="8">
        <v>523.1</v>
      </c>
      <c r="B42" t="s">
        <v>110</v>
      </c>
      <c r="C42" t="s">
        <v>242</v>
      </c>
      <c r="D42" s="58">
        <v>1</v>
      </c>
      <c r="G42" t="s">
        <v>155</v>
      </c>
      <c r="H42" s="57">
        <v>2.347</v>
      </c>
      <c r="I42" s="57">
        <v>2.347</v>
      </c>
      <c r="J42" s="56">
        <v>-850</v>
      </c>
      <c r="K42" s="56">
        <v>-850</v>
      </c>
      <c r="L42" s="56">
        <v>-850</v>
      </c>
      <c r="M42" s="56">
        <v>-850</v>
      </c>
      <c r="N42" s="56">
        <v>-850</v>
      </c>
      <c r="O42" s="56">
        <v>0</v>
      </c>
      <c r="P42" s="56">
        <v>0</v>
      </c>
      <c r="Q42" s="56">
        <v>0</v>
      </c>
      <c r="R42" s="56">
        <v>0</v>
      </c>
      <c r="S42" s="56">
        <v>0</v>
      </c>
      <c r="T42" s="56">
        <v>0</v>
      </c>
      <c r="U42" s="56">
        <v>0</v>
      </c>
      <c r="V42" s="146">
        <v>-4250</v>
      </c>
      <c r="W42" s="146"/>
      <c r="X42" s="139"/>
      <c r="Y42" s="146"/>
      <c r="AC42" s="139"/>
      <c r="AR42" s="56"/>
      <c r="AS42" s="56"/>
    </row>
    <row r="43" spans="1:47" x14ac:dyDescent="0.25">
      <c r="A43" s="8">
        <v>523.20000000000005</v>
      </c>
      <c r="B43" t="s">
        <v>111</v>
      </c>
      <c r="C43" t="s">
        <v>242</v>
      </c>
      <c r="D43" s="58">
        <v>1</v>
      </c>
      <c r="G43" t="s">
        <v>155</v>
      </c>
      <c r="H43" s="57">
        <v>9.9000000000000005E-2</v>
      </c>
      <c r="I43" s="57">
        <v>9.9000000000000005E-2</v>
      </c>
      <c r="J43" s="56">
        <v>0</v>
      </c>
      <c r="K43" s="56">
        <v>-120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-60</v>
      </c>
      <c r="T43" s="56">
        <v>0</v>
      </c>
      <c r="U43" s="56">
        <v>0</v>
      </c>
      <c r="V43" s="146">
        <v>-180</v>
      </c>
      <c r="W43" s="146"/>
      <c r="X43" s="139"/>
      <c r="Y43" s="146">
        <v>-180</v>
      </c>
      <c r="AC43" s="139"/>
      <c r="AR43" s="56"/>
      <c r="AS43" s="56"/>
    </row>
    <row r="44" spans="1:47" x14ac:dyDescent="0.25">
      <c r="A44" s="8">
        <v>524.1</v>
      </c>
      <c r="B44" t="s">
        <v>170</v>
      </c>
      <c r="C44" t="s">
        <v>40</v>
      </c>
      <c r="D44" s="58">
        <v>1</v>
      </c>
      <c r="G44" t="s">
        <v>155</v>
      </c>
      <c r="H44" s="57">
        <v>6.0819999999999999</v>
      </c>
      <c r="I44" s="57">
        <v>6.0819999999999999</v>
      </c>
      <c r="J44" s="56">
        <v>-1199.21</v>
      </c>
      <c r="K44" s="56">
        <v>-1345.72</v>
      </c>
      <c r="L44" s="56">
        <v>-1275.48</v>
      </c>
      <c r="M44" s="56">
        <v>-924.74</v>
      </c>
      <c r="N44" s="56">
        <v>-927.65</v>
      </c>
      <c r="O44" s="56">
        <v>-583.80999999999995</v>
      </c>
      <c r="P44" s="56">
        <v>-563.59</v>
      </c>
      <c r="Q44" s="56">
        <v>-583.83000000000004</v>
      </c>
      <c r="R44" s="56">
        <v>-663.9</v>
      </c>
      <c r="S44" s="56">
        <v>-600.70000000000005</v>
      </c>
      <c r="T44" s="56">
        <v>-2342.33</v>
      </c>
      <c r="U44" s="56">
        <v>0</v>
      </c>
      <c r="V44" s="146">
        <v>-5672.29</v>
      </c>
      <c r="W44" s="146"/>
      <c r="X44" s="139"/>
      <c r="Y44" s="146">
        <v>-4762.55</v>
      </c>
      <c r="AA44" s="139">
        <v>-6275.58</v>
      </c>
      <c r="AC44" s="139">
        <v>-6503.01</v>
      </c>
      <c r="AD44" s="56"/>
      <c r="AE44" s="139">
        <v>-6505.94</v>
      </c>
      <c r="AG44" s="139">
        <v>-7074.04</v>
      </c>
      <c r="AI44" s="139">
        <v>-7182.98</v>
      </c>
      <c r="AK44" s="139">
        <v>-9081.5300000000007</v>
      </c>
      <c r="AR44" s="56"/>
      <c r="AS44" s="56"/>
    </row>
    <row r="45" spans="1:47" x14ac:dyDescent="0.25">
      <c r="A45" s="8">
        <v>527.1</v>
      </c>
      <c r="B45" t="s">
        <v>112</v>
      </c>
      <c r="C45" t="s">
        <v>40</v>
      </c>
      <c r="D45" s="58">
        <v>1</v>
      </c>
      <c r="G45" t="s">
        <v>155</v>
      </c>
      <c r="H45" s="57">
        <v>6.0999999999999999E-2</v>
      </c>
      <c r="I45" s="57">
        <v>6.0999999999999999E-2</v>
      </c>
      <c r="J45" s="56">
        <v>-12.03</v>
      </c>
      <c r="K45" s="56">
        <v>-14.6</v>
      </c>
      <c r="L45" s="56">
        <v>-12.15</v>
      </c>
      <c r="M45" s="56">
        <v>-10.14</v>
      </c>
      <c r="N45" s="56">
        <v>-10.039999999999999</v>
      </c>
      <c r="O45" s="56">
        <v>-8.9600000000000009</v>
      </c>
      <c r="P45" s="56">
        <v>-8.1199999999999992</v>
      </c>
      <c r="Q45" s="56">
        <v>-5.5</v>
      </c>
      <c r="R45" s="56">
        <v>-10.24</v>
      </c>
      <c r="S45" s="56">
        <v>-9.24</v>
      </c>
      <c r="T45" s="56">
        <v>-8.73</v>
      </c>
      <c r="U45" s="56">
        <v>0</v>
      </c>
      <c r="V45" s="146">
        <v>-39.36</v>
      </c>
      <c r="W45" s="146"/>
      <c r="X45" s="139"/>
      <c r="Y45" s="146">
        <v>-74.260000000000005</v>
      </c>
      <c r="AA45" s="139">
        <v>-94.5</v>
      </c>
      <c r="AC45" s="139">
        <v>-99.34</v>
      </c>
      <c r="AD45" s="56"/>
      <c r="AE45" s="139">
        <v>-98.62</v>
      </c>
      <c r="AG45" s="139">
        <v>-172.07</v>
      </c>
      <c r="AI45" s="139">
        <v>-190.07</v>
      </c>
      <c r="AK45" s="139">
        <v>-199.6</v>
      </c>
      <c r="AR45" s="56"/>
      <c r="AS45" s="56"/>
    </row>
    <row r="46" spans="1:47" x14ac:dyDescent="0.25">
      <c r="A46" s="8">
        <v>527.21</v>
      </c>
      <c r="B46" t="s">
        <v>171</v>
      </c>
      <c r="C46" s="9" t="s">
        <v>16</v>
      </c>
      <c r="D46" s="58">
        <v>1</v>
      </c>
      <c r="G46" t="s">
        <v>155</v>
      </c>
      <c r="H46" s="57">
        <v>0.60099999999999998</v>
      </c>
      <c r="I46" s="57">
        <v>0.60099999999999998</v>
      </c>
      <c r="J46" s="56">
        <v>-126.48</v>
      </c>
      <c r="K46" s="56">
        <v>-93.46</v>
      </c>
      <c r="L46" s="56">
        <v>-113.47</v>
      </c>
      <c r="M46" s="56">
        <v>-89.28</v>
      </c>
      <c r="N46" s="56">
        <v>-89.28</v>
      </c>
      <c r="O46" s="56">
        <v>-109.12</v>
      </c>
      <c r="P46" s="56">
        <v>-84.32</v>
      </c>
      <c r="Q46" s="56">
        <v>-86.8</v>
      </c>
      <c r="R46" s="56">
        <v>-37.200000000000003</v>
      </c>
      <c r="S46" s="56">
        <v>-96.72</v>
      </c>
      <c r="T46" s="56">
        <v>-86.8</v>
      </c>
      <c r="U46" s="56">
        <v>-74.400000000000006</v>
      </c>
      <c r="V46" s="146">
        <v>-469.64</v>
      </c>
      <c r="W46" s="146"/>
      <c r="X46" s="139"/>
      <c r="Y46" s="146">
        <v>-738.8</v>
      </c>
      <c r="AA46" s="139">
        <v>-1020.35</v>
      </c>
      <c r="AC46" s="139">
        <v>-1157.72</v>
      </c>
      <c r="AD46" s="56"/>
      <c r="AE46" s="139">
        <v>-1115.57</v>
      </c>
      <c r="AG46" s="139">
        <v>-1215.73</v>
      </c>
      <c r="AI46" s="139">
        <v>-1393.49</v>
      </c>
      <c r="AK46" s="139">
        <v>-1605.79</v>
      </c>
      <c r="AR46" s="56"/>
      <c r="AS46" s="56"/>
    </row>
    <row r="47" spans="1:47" x14ac:dyDescent="0.25">
      <c r="A47" s="8">
        <v>527.22</v>
      </c>
      <c r="B47" t="s">
        <v>172</v>
      </c>
      <c r="C47" s="9" t="s">
        <v>16</v>
      </c>
      <c r="D47" s="58">
        <v>1</v>
      </c>
      <c r="G47" t="s">
        <v>155</v>
      </c>
      <c r="H47" s="57">
        <v>0.20700000000000002</v>
      </c>
      <c r="I47" s="57">
        <v>0.20700000000000002</v>
      </c>
      <c r="J47" s="56">
        <v>-87.72</v>
      </c>
      <c r="K47" s="56">
        <v>-61.94</v>
      </c>
      <c r="L47" s="56">
        <v>-79.73</v>
      </c>
      <c r="M47" s="56">
        <v>-72.72</v>
      </c>
      <c r="N47" s="56">
        <v>-72.72</v>
      </c>
      <c r="O47" s="56">
        <v>0</v>
      </c>
      <c r="P47" s="56">
        <v>0</v>
      </c>
      <c r="Q47" s="56">
        <v>0</v>
      </c>
      <c r="R47" s="56">
        <v>0</v>
      </c>
      <c r="S47" s="56">
        <v>0</v>
      </c>
      <c r="T47" s="56">
        <v>0</v>
      </c>
      <c r="U47" s="56">
        <v>0</v>
      </c>
      <c r="V47" s="146">
        <v>-147.02000000000001</v>
      </c>
      <c r="W47" s="146"/>
      <c r="X47" s="139"/>
      <c r="Y47" s="146"/>
      <c r="AC47" s="139">
        <v>-14.28</v>
      </c>
      <c r="AE47" s="139">
        <v>-16</v>
      </c>
      <c r="AG47" s="139">
        <v>-5.6</v>
      </c>
      <c r="AR47" s="56"/>
      <c r="AS47" s="56"/>
    </row>
    <row r="48" spans="1:47" x14ac:dyDescent="0.25">
      <c r="A48" s="8">
        <v>527.29999999999995</v>
      </c>
      <c r="B48" t="s">
        <v>173</v>
      </c>
      <c r="C48" t="s">
        <v>40</v>
      </c>
      <c r="D48" s="58">
        <v>1</v>
      </c>
      <c r="G48" t="s">
        <v>155</v>
      </c>
      <c r="H48" s="57">
        <v>0.19700000000000001</v>
      </c>
      <c r="I48" s="57">
        <v>0.19700000000000001</v>
      </c>
      <c r="J48" s="56">
        <v>-275.56</v>
      </c>
      <c r="K48" s="56">
        <v>-80.900000000000006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6">
        <v>0</v>
      </c>
      <c r="V48" s="146">
        <v>-157.43</v>
      </c>
      <c r="W48" s="146"/>
      <c r="X48" s="139"/>
      <c r="Y48" s="146"/>
      <c r="AC48" s="139"/>
      <c r="AI48" s="139">
        <v>-115.12</v>
      </c>
      <c r="AR48" s="56"/>
      <c r="AS48" s="56"/>
    </row>
    <row r="49" spans="1:45" x14ac:dyDescent="0.25">
      <c r="A49" s="8">
        <v>527.9</v>
      </c>
      <c r="B49" t="s">
        <v>249</v>
      </c>
      <c r="C49" t="s">
        <v>40</v>
      </c>
      <c r="D49" s="58">
        <v>1</v>
      </c>
      <c r="G49" t="s">
        <v>155</v>
      </c>
      <c r="H49" s="57">
        <v>0.19700000000000001</v>
      </c>
      <c r="I49" s="57">
        <v>0.19700000000000001</v>
      </c>
      <c r="J49" s="56">
        <v>-275.56</v>
      </c>
      <c r="K49" s="56">
        <v>-80.900000000000006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146">
        <v>0</v>
      </c>
      <c r="W49" s="146"/>
      <c r="X49" s="139"/>
      <c r="Y49" s="146">
        <v>-25</v>
      </c>
      <c r="AC49" s="139"/>
      <c r="AR49" s="56"/>
      <c r="AS49" s="56"/>
    </row>
    <row r="50" spans="1:45" x14ac:dyDescent="0.25">
      <c r="A50" s="8">
        <v>531.1</v>
      </c>
      <c r="B50" t="s">
        <v>174</v>
      </c>
      <c r="C50" t="s">
        <v>208</v>
      </c>
      <c r="D50" s="58">
        <v>1</v>
      </c>
      <c r="G50" t="s">
        <v>155</v>
      </c>
      <c r="H50" s="57">
        <v>1.4E-2</v>
      </c>
      <c r="I50" s="57">
        <v>1.4E-2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56">
        <v>0</v>
      </c>
      <c r="P50" s="56">
        <v>0</v>
      </c>
      <c r="Q50" s="56">
        <v>0</v>
      </c>
      <c r="R50" s="56">
        <v>0</v>
      </c>
      <c r="S50" s="56">
        <v>0</v>
      </c>
      <c r="T50" s="56">
        <v>0</v>
      </c>
      <c r="U50" s="56">
        <v>-24.58</v>
      </c>
      <c r="V50" s="146">
        <v>-24.58</v>
      </c>
      <c r="W50" s="146"/>
      <c r="X50" s="139"/>
      <c r="Y50" s="146"/>
      <c r="AA50" s="139">
        <v>-19.73</v>
      </c>
      <c r="AC50" s="139"/>
      <c r="AE50" s="139">
        <v>-20.96</v>
      </c>
      <c r="AG50" s="139">
        <v>-62.89</v>
      </c>
      <c r="AI50" s="139">
        <v>-52.41</v>
      </c>
      <c r="AK50" s="139">
        <v>-57.95</v>
      </c>
      <c r="AR50" s="56"/>
      <c r="AS50" s="56"/>
    </row>
    <row r="51" spans="1:45" x14ac:dyDescent="0.25">
      <c r="A51" s="8">
        <v>538.1</v>
      </c>
      <c r="B51" t="s">
        <v>320</v>
      </c>
      <c r="C51" t="s">
        <v>214</v>
      </c>
      <c r="D51" s="58">
        <v>1</v>
      </c>
      <c r="V51" s="146"/>
      <c r="W51" s="146"/>
      <c r="X51" s="139"/>
      <c r="Y51" s="146"/>
      <c r="AC51" s="139"/>
      <c r="AK51" s="139">
        <v>-55</v>
      </c>
      <c r="AR51" s="56"/>
      <c r="AS51" s="56"/>
    </row>
    <row r="52" spans="1:45" x14ac:dyDescent="0.25">
      <c r="A52" s="8">
        <v>538.20000000000005</v>
      </c>
      <c r="B52" t="s">
        <v>175</v>
      </c>
      <c r="C52" t="s">
        <v>208</v>
      </c>
      <c r="D52" s="58">
        <v>1</v>
      </c>
      <c r="G52" t="s">
        <v>155</v>
      </c>
      <c r="H52" s="57">
        <v>1.8000000000000002E-2</v>
      </c>
      <c r="I52" s="57">
        <v>1.8000000000000002E-2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-33</v>
      </c>
      <c r="P52" s="56">
        <v>0</v>
      </c>
      <c r="Q52" s="56">
        <v>0</v>
      </c>
      <c r="R52" s="56">
        <v>0</v>
      </c>
      <c r="S52" s="56">
        <v>0</v>
      </c>
      <c r="T52" s="56">
        <v>0</v>
      </c>
      <c r="U52" s="56">
        <v>0</v>
      </c>
      <c r="V52" s="146">
        <v>-35.39</v>
      </c>
      <c r="W52" s="146"/>
      <c r="X52" s="139"/>
      <c r="Y52" s="146"/>
      <c r="AA52" s="139">
        <v>-33</v>
      </c>
      <c r="AC52" s="139"/>
      <c r="AI52" s="139">
        <v>-33</v>
      </c>
      <c r="AR52" s="56"/>
      <c r="AS52" s="56"/>
    </row>
    <row r="53" spans="1:45" x14ac:dyDescent="0.25">
      <c r="A53" s="8">
        <v>545.1</v>
      </c>
      <c r="B53" t="s">
        <v>269</v>
      </c>
      <c r="C53" t="s">
        <v>208</v>
      </c>
      <c r="D53" s="58">
        <v>1</v>
      </c>
      <c r="V53" s="146">
        <v>0</v>
      </c>
      <c r="W53" s="146"/>
      <c r="X53" s="139"/>
      <c r="Y53" s="146">
        <v>-54.2</v>
      </c>
      <c r="AC53" s="139"/>
      <c r="AG53" s="139">
        <v>-40.1</v>
      </c>
      <c r="AR53" s="56"/>
      <c r="AS53" s="56"/>
    </row>
    <row r="54" spans="1:45" x14ac:dyDescent="0.25">
      <c r="A54" s="8">
        <v>546.1</v>
      </c>
      <c r="B54" t="s">
        <v>270</v>
      </c>
      <c r="C54" t="s">
        <v>208</v>
      </c>
      <c r="D54" s="58">
        <v>1</v>
      </c>
      <c r="V54" s="146">
        <v>0</v>
      </c>
      <c r="W54" s="146"/>
      <c r="X54" s="139"/>
      <c r="Y54" s="146"/>
      <c r="AC54" s="139"/>
      <c r="AG54" s="139">
        <v>-174</v>
      </c>
      <c r="AR54" s="56"/>
      <c r="AS54" s="56"/>
    </row>
    <row r="55" spans="1:45" x14ac:dyDescent="0.25">
      <c r="A55" s="8">
        <v>546.20000000000005</v>
      </c>
      <c r="B55" t="s">
        <v>271</v>
      </c>
      <c r="C55" t="s">
        <v>208</v>
      </c>
      <c r="D55" s="58">
        <v>1</v>
      </c>
      <c r="V55" s="146">
        <v>0</v>
      </c>
      <c r="W55" s="146"/>
      <c r="X55" s="139"/>
      <c r="Y55" s="146"/>
      <c r="AC55" s="139"/>
      <c r="AR55" s="56"/>
      <c r="AS55" s="56"/>
    </row>
    <row r="56" spans="1:45" x14ac:dyDescent="0.25">
      <c r="A56" s="8">
        <v>546.5</v>
      </c>
      <c r="B56" t="s">
        <v>254</v>
      </c>
      <c r="C56" t="s">
        <v>208</v>
      </c>
      <c r="D56" s="58">
        <v>1</v>
      </c>
      <c r="V56" s="146">
        <v>0</v>
      </c>
      <c r="W56" s="146"/>
      <c r="X56" s="139"/>
      <c r="Y56" s="146"/>
      <c r="AC56" s="139"/>
      <c r="AR56" s="56"/>
      <c r="AS56" s="56"/>
    </row>
    <row r="57" spans="1:45" x14ac:dyDescent="0.25">
      <c r="A57" s="138">
        <v>547.1</v>
      </c>
      <c r="B57" t="s">
        <v>236</v>
      </c>
      <c r="C57" t="s">
        <v>208</v>
      </c>
      <c r="D57" s="58">
        <v>1</v>
      </c>
      <c r="V57" s="146">
        <v>-2728.11</v>
      </c>
      <c r="W57" s="146"/>
      <c r="X57" s="139"/>
      <c r="Y57" s="146">
        <v>3973.28</v>
      </c>
      <c r="AA57" s="139">
        <v>-952.25</v>
      </c>
      <c r="AC57" s="139">
        <v>-84.08</v>
      </c>
      <c r="AE57" s="139">
        <v>339.62</v>
      </c>
      <c r="AG57" s="139">
        <v>206.78</v>
      </c>
      <c r="AI57" s="139">
        <v>50.7</v>
      </c>
      <c r="AK57" s="139">
        <v>-196.4</v>
      </c>
      <c r="AR57" s="56"/>
      <c r="AS57" s="56"/>
    </row>
    <row r="58" spans="1:45" x14ac:dyDescent="0.25">
      <c r="A58" s="138">
        <v>548.1</v>
      </c>
      <c r="B58" t="s">
        <v>144</v>
      </c>
      <c r="C58" t="s">
        <v>209</v>
      </c>
      <c r="D58" s="58">
        <v>1</v>
      </c>
      <c r="G58" t="s">
        <v>155</v>
      </c>
      <c r="H58" s="57">
        <v>7.8E-2</v>
      </c>
      <c r="I58" s="57">
        <v>7.8E-2</v>
      </c>
      <c r="J58" s="56">
        <v>-40.47</v>
      </c>
      <c r="K58" s="56">
        <v>0</v>
      </c>
      <c r="L58" s="56">
        <v>0</v>
      </c>
      <c r="M58" s="56">
        <v>-101.55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56">
        <v>0</v>
      </c>
      <c r="V58" s="146">
        <v>-142.02000000000001</v>
      </c>
      <c r="W58" s="146"/>
      <c r="X58" s="139"/>
      <c r="Y58" s="146">
        <v>-142.03</v>
      </c>
      <c r="AA58" s="139">
        <v>-141.74</v>
      </c>
      <c r="AC58">
        <v>-142.29</v>
      </c>
      <c r="AD58" s="56"/>
      <c r="AE58" s="139">
        <v>-142.02000000000001</v>
      </c>
      <c r="AG58" s="139">
        <v>-142.02000000000001</v>
      </c>
      <c r="AI58" s="139">
        <v>-142.02000000000001</v>
      </c>
      <c r="AK58" s="139">
        <v>-142.02000000000001</v>
      </c>
      <c r="AR58" s="56"/>
      <c r="AS58" s="56"/>
    </row>
    <row r="59" spans="1:45" x14ac:dyDescent="0.25">
      <c r="A59" s="138">
        <v>548.20000000000005</v>
      </c>
      <c r="B59" t="s">
        <v>237</v>
      </c>
      <c r="C59" t="s">
        <v>208</v>
      </c>
      <c r="D59" s="58">
        <v>1</v>
      </c>
      <c r="V59" s="146">
        <v>-0.02</v>
      </c>
      <c r="W59" s="146"/>
      <c r="X59" s="139"/>
      <c r="Y59" s="146">
        <v>-1.1000000000000001</v>
      </c>
      <c r="AC59" s="139"/>
      <c r="AI59" s="139">
        <v>-0.02</v>
      </c>
      <c r="AK59" s="139">
        <v>-0.02</v>
      </c>
      <c r="AR59" s="56"/>
      <c r="AS59" s="56"/>
    </row>
    <row r="60" spans="1:45" x14ac:dyDescent="0.25">
      <c r="A60" s="138">
        <v>548.9</v>
      </c>
      <c r="B60" t="s">
        <v>238</v>
      </c>
      <c r="C60" t="s">
        <v>208</v>
      </c>
      <c r="D60" s="58">
        <v>1</v>
      </c>
      <c r="V60" s="146">
        <v>-1</v>
      </c>
      <c r="W60" s="146"/>
      <c r="X60" s="139"/>
      <c r="Y60" s="146"/>
      <c r="AC60" s="139"/>
      <c r="AR60" s="56"/>
      <c r="AS60" s="56"/>
    </row>
    <row r="61" spans="1:45" x14ac:dyDescent="0.25">
      <c r="A61" s="138">
        <v>549.1</v>
      </c>
      <c r="B61" t="s">
        <v>297</v>
      </c>
      <c r="C61" t="s">
        <v>208</v>
      </c>
      <c r="D61" s="58">
        <v>1</v>
      </c>
      <c r="V61" s="146">
        <v>0</v>
      </c>
      <c r="W61" s="146"/>
      <c r="X61" s="139"/>
      <c r="Y61" s="146">
        <v>0</v>
      </c>
      <c r="AA61" s="139">
        <v>0</v>
      </c>
      <c r="AC61" s="139">
        <v>0</v>
      </c>
      <c r="AE61" s="139">
        <v>-196.18</v>
      </c>
      <c r="AR61" s="56"/>
      <c r="AS61" s="56"/>
    </row>
    <row r="62" spans="1:45" x14ac:dyDescent="0.25">
      <c r="A62" s="138">
        <v>551.1</v>
      </c>
      <c r="B62" t="s">
        <v>239</v>
      </c>
      <c r="C62" t="s">
        <v>21</v>
      </c>
      <c r="D62" s="58">
        <v>1</v>
      </c>
      <c r="V62" s="146">
        <v>-54</v>
      </c>
      <c r="W62" s="146"/>
      <c r="X62" s="139"/>
      <c r="Y62" s="146">
        <v>-445.94</v>
      </c>
      <c r="AA62" s="139">
        <v>-643.84</v>
      </c>
      <c r="AC62" s="139">
        <v>-558.29999999999995</v>
      </c>
      <c r="AD62" s="56"/>
      <c r="AE62" s="139">
        <v>-558.29999999999995</v>
      </c>
      <c r="AG62" s="139">
        <v>-351.15</v>
      </c>
      <c r="AI62" s="139">
        <v>-740.02</v>
      </c>
      <c r="AK62" s="139">
        <v>-2113.35</v>
      </c>
      <c r="AR62" s="56"/>
      <c r="AS62" s="56"/>
    </row>
    <row r="63" spans="1:45" x14ac:dyDescent="0.25">
      <c r="A63" s="138">
        <v>551.11</v>
      </c>
      <c r="B63" t="s">
        <v>240</v>
      </c>
      <c r="C63" t="s">
        <v>21</v>
      </c>
      <c r="D63" s="58">
        <v>1</v>
      </c>
      <c r="V63" s="146">
        <v>-837.86</v>
      </c>
      <c r="W63" s="146"/>
      <c r="X63" s="139"/>
      <c r="Y63" s="146"/>
      <c r="AC63" s="139"/>
      <c r="AR63" s="56"/>
      <c r="AS63" s="56"/>
    </row>
    <row r="64" spans="1:45" x14ac:dyDescent="0.25">
      <c r="A64" s="138">
        <v>568.1</v>
      </c>
      <c r="B64" t="s">
        <v>114</v>
      </c>
      <c r="C64" t="s">
        <v>208</v>
      </c>
      <c r="D64" s="58">
        <v>1</v>
      </c>
      <c r="G64" t="s">
        <v>155</v>
      </c>
      <c r="H64" s="57">
        <v>0.16800000000000001</v>
      </c>
      <c r="I64" s="57">
        <v>0.16800000000000001</v>
      </c>
      <c r="J64" s="56">
        <v>-43</v>
      </c>
      <c r="K64" s="56">
        <v>-43</v>
      </c>
      <c r="L64" s="56">
        <v>-23</v>
      </c>
      <c r="M64" s="56">
        <v>-19</v>
      </c>
      <c r="N64" s="56">
        <v>-19</v>
      </c>
      <c r="O64" s="56">
        <v>-21</v>
      </c>
      <c r="P64" s="56">
        <v>-19</v>
      </c>
      <c r="Q64" s="56">
        <v>-19</v>
      </c>
      <c r="R64" s="56">
        <v>-23</v>
      </c>
      <c r="S64" s="56">
        <v>-31</v>
      </c>
      <c r="T64" s="56">
        <v>-23</v>
      </c>
      <c r="U64" s="56">
        <v>-21</v>
      </c>
      <c r="V64" s="146">
        <v>-285</v>
      </c>
      <c r="W64" s="146"/>
      <c r="X64" s="139"/>
      <c r="Y64" s="146">
        <v>-254</v>
      </c>
      <c r="AA64" s="139">
        <v>-234</v>
      </c>
      <c r="AC64" s="139">
        <v>-228</v>
      </c>
      <c r="AD64" s="56"/>
      <c r="AE64" s="139">
        <v>-233</v>
      </c>
      <c r="AG64" s="139">
        <v>-228</v>
      </c>
      <c r="AI64" s="139">
        <v>-228</v>
      </c>
      <c r="AK64" s="139">
        <v>-228</v>
      </c>
      <c r="AR64" s="56"/>
      <c r="AS64" s="56"/>
    </row>
    <row r="65" spans="1:47" x14ac:dyDescent="0.25">
      <c r="A65" s="8">
        <v>602</v>
      </c>
      <c r="B65" t="s">
        <v>176</v>
      </c>
      <c r="C65" t="s">
        <v>225</v>
      </c>
      <c r="D65" s="58">
        <v>1</v>
      </c>
      <c r="G65" t="s">
        <v>177</v>
      </c>
      <c r="H65" s="57">
        <v>-0.05</v>
      </c>
      <c r="I65" s="57">
        <v>-0.05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0</v>
      </c>
      <c r="Q65" s="56">
        <v>0</v>
      </c>
      <c r="R65" s="56">
        <v>0</v>
      </c>
      <c r="S65" s="56">
        <v>0</v>
      </c>
      <c r="T65" s="56">
        <v>-123.33</v>
      </c>
      <c r="U65" s="56">
        <v>0</v>
      </c>
      <c r="V65" s="146">
        <v>0</v>
      </c>
      <c r="W65" s="146"/>
      <c r="X65" s="139"/>
      <c r="Y65" s="146"/>
      <c r="AC65" s="139"/>
      <c r="AR65" s="56"/>
      <c r="AS65" s="56"/>
    </row>
    <row r="66" spans="1:47" x14ac:dyDescent="0.25">
      <c r="A66" s="8">
        <v>602.21</v>
      </c>
      <c r="B66" t="s">
        <v>178</v>
      </c>
      <c r="C66" t="s">
        <v>225</v>
      </c>
      <c r="D66" s="58">
        <v>1</v>
      </c>
      <c r="G66" t="s">
        <v>177</v>
      </c>
      <c r="H66" s="57">
        <v>11.544</v>
      </c>
      <c r="I66" s="57">
        <v>11.544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6">
        <v>0</v>
      </c>
      <c r="Q66" s="56">
        <v>28762.42</v>
      </c>
      <c r="R66" s="56">
        <v>0</v>
      </c>
      <c r="S66" s="56">
        <v>0</v>
      </c>
      <c r="T66" s="56">
        <v>0</v>
      </c>
      <c r="U66" s="56">
        <v>0</v>
      </c>
      <c r="V66" s="146">
        <v>0</v>
      </c>
      <c r="W66" s="146"/>
      <c r="X66" s="139"/>
      <c r="Y66" s="146"/>
      <c r="AC66" s="139"/>
      <c r="AR66" s="56"/>
      <c r="AS66" s="56"/>
    </row>
    <row r="67" spans="1:47" x14ac:dyDescent="0.25">
      <c r="A67" s="8">
        <v>602.22</v>
      </c>
      <c r="B67" t="s">
        <v>179</v>
      </c>
      <c r="C67" t="s">
        <v>225</v>
      </c>
      <c r="D67" s="58">
        <v>1</v>
      </c>
      <c r="G67" t="s">
        <v>177</v>
      </c>
      <c r="H67" s="57">
        <v>0.67600000000000005</v>
      </c>
      <c r="I67" s="57">
        <v>0.67600000000000005</v>
      </c>
      <c r="J67" s="56">
        <v>188</v>
      </c>
      <c r="K67" s="56">
        <v>362.7</v>
      </c>
      <c r="L67" s="56">
        <v>370.58</v>
      </c>
      <c r="M67" s="56">
        <v>0</v>
      </c>
      <c r="N67" s="56">
        <v>150</v>
      </c>
      <c r="O67" s="56">
        <v>63</v>
      </c>
      <c r="P67" s="56">
        <v>50</v>
      </c>
      <c r="Q67" s="56">
        <v>75</v>
      </c>
      <c r="R67" s="56">
        <v>25</v>
      </c>
      <c r="S67" s="56">
        <v>188</v>
      </c>
      <c r="T67" s="56">
        <v>138</v>
      </c>
      <c r="U67" s="56">
        <v>75</v>
      </c>
      <c r="V67" s="146">
        <v>0</v>
      </c>
      <c r="W67" s="146"/>
      <c r="X67" s="139"/>
      <c r="Y67" s="146"/>
      <c r="AC67" s="139"/>
      <c r="AR67" s="56"/>
      <c r="AS67" s="56"/>
      <c r="AT67" s="8"/>
      <c r="AU67" s="139"/>
    </row>
    <row r="68" spans="1:47" x14ac:dyDescent="0.25">
      <c r="A68" s="8">
        <v>602.28</v>
      </c>
      <c r="B68" t="s">
        <v>180</v>
      </c>
      <c r="C68" t="s">
        <v>225</v>
      </c>
      <c r="D68" s="58">
        <v>1</v>
      </c>
      <c r="G68" t="s">
        <v>177</v>
      </c>
      <c r="H68" s="57">
        <v>1.2090000000000001</v>
      </c>
      <c r="I68" s="57">
        <v>1.2090000000000001</v>
      </c>
      <c r="J68" s="56">
        <v>0</v>
      </c>
      <c r="K68" s="56">
        <v>0</v>
      </c>
      <c r="L68" s="56">
        <v>0</v>
      </c>
      <c r="M68" s="56">
        <v>0</v>
      </c>
      <c r="N68" s="56">
        <v>0</v>
      </c>
      <c r="O68" s="56">
        <v>0</v>
      </c>
      <c r="P68" s="56">
        <v>0</v>
      </c>
      <c r="Q68" s="56">
        <v>0</v>
      </c>
      <c r="R68" s="56">
        <v>0</v>
      </c>
      <c r="S68" s="56">
        <v>3012.34</v>
      </c>
      <c r="T68" s="56">
        <v>0</v>
      </c>
      <c r="U68" s="56">
        <v>0</v>
      </c>
      <c r="V68" s="146">
        <v>0</v>
      </c>
      <c r="W68" s="146"/>
      <c r="X68" s="139"/>
      <c r="Y68" s="146">
        <v>1624.84</v>
      </c>
      <c r="AC68" s="139"/>
      <c r="AR68" s="56"/>
      <c r="AS68" s="56"/>
      <c r="AT68" s="8"/>
      <c r="AU68" s="139"/>
    </row>
    <row r="69" spans="1:47" x14ac:dyDescent="0.25">
      <c r="A69" s="8">
        <v>602.29999999999995</v>
      </c>
      <c r="B69" t="s">
        <v>115</v>
      </c>
      <c r="C69" t="s">
        <v>225</v>
      </c>
      <c r="D69" s="58">
        <v>1</v>
      </c>
      <c r="G69" t="s">
        <v>177</v>
      </c>
      <c r="H69" s="57">
        <v>84.805999999999997</v>
      </c>
      <c r="I69" s="57">
        <v>84.805999999999997</v>
      </c>
      <c r="J69" s="56">
        <v>8749.32</v>
      </c>
      <c r="K69" s="56">
        <v>3181.01</v>
      </c>
      <c r="L69" s="56">
        <v>1025.07</v>
      </c>
      <c r="M69" s="56">
        <v>4086.74</v>
      </c>
      <c r="N69" s="56">
        <v>27608.43</v>
      </c>
      <c r="O69" s="56">
        <v>17941.68</v>
      </c>
      <c r="P69" s="56">
        <v>0</v>
      </c>
      <c r="Q69" s="56">
        <v>0</v>
      </c>
      <c r="R69" s="56">
        <v>9209.35</v>
      </c>
      <c r="S69" s="56">
        <v>15861.06</v>
      </c>
      <c r="T69" s="56">
        <v>92900.43</v>
      </c>
      <c r="U69" s="56">
        <v>30727.14</v>
      </c>
      <c r="V69" s="146">
        <v>0</v>
      </c>
      <c r="W69" s="146"/>
      <c r="X69" s="139"/>
      <c r="Y69" s="146"/>
      <c r="AC69" s="139"/>
      <c r="AR69" s="56"/>
      <c r="AS69" s="56"/>
      <c r="AT69" s="8"/>
      <c r="AU69" s="139"/>
    </row>
    <row r="70" spans="1:47" x14ac:dyDescent="0.25">
      <c r="A70" s="8">
        <v>602.4</v>
      </c>
      <c r="B70" t="s">
        <v>181</v>
      </c>
      <c r="C70" t="s">
        <v>225</v>
      </c>
      <c r="D70" s="58">
        <v>1</v>
      </c>
      <c r="G70" t="s">
        <v>177</v>
      </c>
      <c r="H70" s="57">
        <v>0.251</v>
      </c>
      <c r="I70" s="57">
        <v>0.251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6">
        <v>624.75</v>
      </c>
      <c r="V70" s="146">
        <v>0</v>
      </c>
      <c r="W70" s="146"/>
      <c r="X70" s="139"/>
      <c r="Y70" s="146"/>
      <c r="AC70" s="139"/>
      <c r="AR70" s="56"/>
      <c r="AS70" s="56"/>
      <c r="AT70" s="8"/>
      <c r="AU70" s="139"/>
    </row>
    <row r="71" spans="1:47" x14ac:dyDescent="0.25">
      <c r="A71" s="8">
        <v>602.6</v>
      </c>
      <c r="B71" t="s">
        <v>298</v>
      </c>
      <c r="C71" t="s">
        <v>225</v>
      </c>
      <c r="D71" s="58">
        <v>1</v>
      </c>
      <c r="V71" s="146">
        <v>0</v>
      </c>
      <c r="W71" s="146"/>
      <c r="X71" s="139"/>
      <c r="Y71" s="146"/>
      <c r="AC71" s="139"/>
      <c r="AR71" s="56"/>
      <c r="AS71" s="56"/>
      <c r="AT71" s="8"/>
      <c r="AU71" s="139"/>
    </row>
    <row r="72" spans="1:47" x14ac:dyDescent="0.25">
      <c r="A72" s="8">
        <v>602.79999999999995</v>
      </c>
      <c r="B72" t="s">
        <v>279</v>
      </c>
      <c r="C72" t="s">
        <v>225</v>
      </c>
      <c r="D72" s="58">
        <v>1</v>
      </c>
      <c r="V72" s="146">
        <v>0</v>
      </c>
      <c r="W72" s="146"/>
      <c r="X72" s="139"/>
      <c r="Y72" s="146"/>
      <c r="AC72" s="139"/>
      <c r="AD72" s="56"/>
      <c r="AR72" s="56"/>
      <c r="AS72" s="56"/>
    </row>
    <row r="73" spans="1:47" x14ac:dyDescent="0.25">
      <c r="A73" s="8">
        <v>602.9</v>
      </c>
      <c r="B73" t="s">
        <v>250</v>
      </c>
      <c r="C73" t="s">
        <v>225</v>
      </c>
      <c r="D73" s="58">
        <v>1</v>
      </c>
      <c r="V73" s="146">
        <v>0</v>
      </c>
      <c r="W73" s="146"/>
      <c r="X73" s="139"/>
      <c r="Y73" s="146"/>
      <c r="AC73" s="139"/>
      <c r="AD73" s="56"/>
      <c r="AR73" s="56"/>
      <c r="AS73" s="56"/>
    </row>
    <row r="74" spans="1:47" x14ac:dyDescent="0.25">
      <c r="A74" s="8">
        <v>644.1</v>
      </c>
      <c r="B74" t="s">
        <v>313</v>
      </c>
      <c r="C74" t="s">
        <v>225</v>
      </c>
      <c r="D74" s="58">
        <v>1</v>
      </c>
      <c r="V74" s="146">
        <v>0</v>
      </c>
      <c r="W74" s="146"/>
      <c r="X74" s="139"/>
      <c r="Y74" s="146"/>
      <c r="AC74" s="139"/>
      <c r="AD74" s="56"/>
      <c r="AI74" s="139">
        <v>360.26</v>
      </c>
      <c r="AR74" s="56"/>
      <c r="AS74" s="56"/>
    </row>
    <row r="75" spans="1:47" x14ac:dyDescent="0.25">
      <c r="A75" s="8">
        <v>646.1</v>
      </c>
      <c r="B75" t="s">
        <v>312</v>
      </c>
      <c r="C75" t="s">
        <v>225</v>
      </c>
      <c r="D75" s="58">
        <v>1</v>
      </c>
      <c r="V75" s="146">
        <v>0</v>
      </c>
      <c r="W75" s="146"/>
      <c r="X75" s="139"/>
      <c r="Y75" s="146"/>
      <c r="AC75" s="139"/>
      <c r="AD75" s="56"/>
      <c r="AI75" s="139">
        <v>174</v>
      </c>
      <c r="AR75" s="56"/>
      <c r="AS75" s="56"/>
    </row>
    <row r="76" spans="1:47" x14ac:dyDescent="0.25">
      <c r="A76" s="8">
        <v>648.1</v>
      </c>
      <c r="B76" t="s">
        <v>182</v>
      </c>
      <c r="C76" t="s">
        <v>210</v>
      </c>
      <c r="D76" s="58">
        <v>1</v>
      </c>
      <c r="G76" t="s">
        <v>177</v>
      </c>
      <c r="H76" s="57">
        <v>1.405</v>
      </c>
      <c r="I76" s="57">
        <v>1.405</v>
      </c>
      <c r="J76" s="56">
        <v>0</v>
      </c>
      <c r="K76" s="56">
        <v>0</v>
      </c>
      <c r="L76" s="56">
        <v>0</v>
      </c>
      <c r="M76" s="56">
        <v>0</v>
      </c>
      <c r="N76" s="56">
        <v>0</v>
      </c>
      <c r="O76" s="56">
        <v>0</v>
      </c>
      <c r="P76" s="56">
        <v>0</v>
      </c>
      <c r="Q76" s="56">
        <v>0</v>
      </c>
      <c r="R76" s="56">
        <v>3500</v>
      </c>
      <c r="S76" s="56">
        <v>0</v>
      </c>
      <c r="T76" s="56">
        <v>0</v>
      </c>
      <c r="U76" s="56">
        <v>0</v>
      </c>
      <c r="V76" s="146">
        <v>3500</v>
      </c>
      <c r="W76" s="146"/>
      <c r="X76" s="139"/>
      <c r="Y76" s="146">
        <v>2500</v>
      </c>
      <c r="AA76" s="139">
        <v>4000</v>
      </c>
      <c r="AC76" s="139"/>
      <c r="AE76" s="139">
        <v>10833.33</v>
      </c>
      <c r="AG76" s="139">
        <v>10833.33</v>
      </c>
      <c r="AI76" s="139">
        <v>14333.33</v>
      </c>
      <c r="AK76" s="139">
        <v>12250</v>
      </c>
      <c r="AR76" s="56"/>
      <c r="AS76" s="56"/>
    </row>
    <row r="77" spans="1:47" x14ac:dyDescent="0.25">
      <c r="A77" s="8">
        <v>648.20000000000005</v>
      </c>
      <c r="B77" t="s">
        <v>116</v>
      </c>
      <c r="C77" t="s">
        <v>225</v>
      </c>
      <c r="D77" s="58">
        <v>1</v>
      </c>
      <c r="G77" t="s">
        <v>177</v>
      </c>
      <c r="H77" s="57">
        <v>1E-3</v>
      </c>
      <c r="I77" s="57">
        <v>1E-3</v>
      </c>
      <c r="J77" s="56">
        <v>-0.05</v>
      </c>
      <c r="K77" s="56">
        <v>0</v>
      </c>
      <c r="L77" s="56">
        <v>0</v>
      </c>
      <c r="M77" s="56">
        <v>3.01</v>
      </c>
      <c r="N77" s="56">
        <v>-0.01</v>
      </c>
      <c r="O77" s="56">
        <v>0</v>
      </c>
      <c r="P77" s="56">
        <v>0</v>
      </c>
      <c r="Q77" s="56">
        <v>0</v>
      </c>
      <c r="R77" s="56">
        <v>0</v>
      </c>
      <c r="S77" s="56">
        <v>0</v>
      </c>
      <c r="T77" s="56">
        <v>-0.03</v>
      </c>
      <c r="U77" s="56">
        <v>0</v>
      </c>
      <c r="V77" s="146">
        <v>3</v>
      </c>
      <c r="W77" s="146"/>
      <c r="X77" s="139"/>
      <c r="Y77" s="146"/>
      <c r="AA77" s="139">
        <v>0.01</v>
      </c>
      <c r="AC77" s="139"/>
      <c r="AR77" s="56"/>
      <c r="AS77" s="56"/>
    </row>
    <row r="78" spans="1:47" x14ac:dyDescent="0.25">
      <c r="A78" s="8">
        <v>648.29999999999995</v>
      </c>
      <c r="B78" t="s">
        <v>183</v>
      </c>
      <c r="C78" t="s">
        <v>211</v>
      </c>
      <c r="D78" s="58">
        <v>1</v>
      </c>
      <c r="G78" t="s">
        <v>177</v>
      </c>
      <c r="H78" s="57">
        <v>0.158</v>
      </c>
      <c r="I78" s="57">
        <v>0.158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56">
        <v>0</v>
      </c>
      <c r="P78" s="56">
        <v>0</v>
      </c>
      <c r="Q78" s="56">
        <v>0</v>
      </c>
      <c r="R78" s="56">
        <v>0</v>
      </c>
      <c r="S78" s="56">
        <v>144</v>
      </c>
      <c r="T78" s="56">
        <v>249</v>
      </c>
      <c r="U78" s="56">
        <v>0</v>
      </c>
      <c r="V78" s="146">
        <v>393</v>
      </c>
      <c r="W78" s="146"/>
      <c r="X78" s="139"/>
      <c r="Y78" s="146"/>
      <c r="AC78" s="139"/>
      <c r="AR78" s="56"/>
      <c r="AS78" s="56"/>
    </row>
    <row r="79" spans="1:47" x14ac:dyDescent="0.25">
      <c r="A79" s="8">
        <v>648.4</v>
      </c>
      <c r="B79" t="s">
        <v>295</v>
      </c>
      <c r="C79" t="s">
        <v>225</v>
      </c>
      <c r="D79" s="58">
        <v>1</v>
      </c>
      <c r="V79" s="146">
        <v>0</v>
      </c>
      <c r="W79" s="146"/>
      <c r="X79" s="139"/>
      <c r="Y79" s="146"/>
      <c r="AC79" s="139"/>
      <c r="AE79" s="139">
        <v>50</v>
      </c>
      <c r="AR79" s="56"/>
      <c r="AS79" s="56"/>
    </row>
    <row r="80" spans="1:47" x14ac:dyDescent="0.25">
      <c r="A80" s="8">
        <v>648.79999999999995</v>
      </c>
      <c r="B80" t="s">
        <v>290</v>
      </c>
      <c r="C80" t="s">
        <v>225</v>
      </c>
      <c r="D80" s="58">
        <v>1</v>
      </c>
      <c r="V80" s="146">
        <v>0</v>
      </c>
      <c r="W80" s="146"/>
      <c r="X80" s="139"/>
      <c r="Y80" s="146"/>
      <c r="AC80" s="139">
        <v>13012.74</v>
      </c>
      <c r="AE80" s="139">
        <v>9264.7099999999991</v>
      </c>
      <c r="AG80" s="139">
        <v>3914.36</v>
      </c>
      <c r="AR80" s="56"/>
      <c r="AS80" s="56"/>
    </row>
    <row r="81" spans="1:45" x14ac:dyDescent="0.25">
      <c r="A81" s="8">
        <v>648.80999999999995</v>
      </c>
      <c r="B81" t="s">
        <v>291</v>
      </c>
      <c r="C81" t="s">
        <v>225</v>
      </c>
      <c r="D81" s="58">
        <v>1</v>
      </c>
      <c r="V81" s="146">
        <v>0</v>
      </c>
      <c r="W81" s="146"/>
      <c r="X81" s="139"/>
      <c r="Y81" s="146"/>
      <c r="AC81" s="139">
        <v>2000</v>
      </c>
      <c r="AE81" s="139">
        <v>2000</v>
      </c>
      <c r="AR81" s="56"/>
      <c r="AS81" s="56"/>
    </row>
    <row r="82" spans="1:45" x14ac:dyDescent="0.25">
      <c r="A82" s="8">
        <v>648.82000000000005</v>
      </c>
      <c r="B82" t="s">
        <v>306</v>
      </c>
      <c r="C82" t="s">
        <v>225</v>
      </c>
      <c r="D82" s="58">
        <v>1</v>
      </c>
      <c r="V82" s="146">
        <v>0</v>
      </c>
      <c r="W82" s="146"/>
      <c r="X82" s="139"/>
      <c r="Y82" s="146"/>
      <c r="AC82" s="139"/>
      <c r="AG82" s="139">
        <v>56</v>
      </c>
      <c r="AR82" s="56"/>
      <c r="AS82" s="56"/>
    </row>
    <row r="83" spans="1:45" x14ac:dyDescent="0.25">
      <c r="A83" s="138">
        <v>648.9</v>
      </c>
      <c r="B83" t="s">
        <v>241</v>
      </c>
      <c r="C83" t="s">
        <v>225</v>
      </c>
      <c r="D83" s="58">
        <v>1</v>
      </c>
      <c r="V83" s="146">
        <v>23.3</v>
      </c>
      <c r="W83" s="146"/>
      <c r="X83" s="139"/>
      <c r="Y83" s="146"/>
      <c r="AC83" s="139"/>
      <c r="AE83" s="139">
        <v>54.62</v>
      </c>
      <c r="AI83" s="139">
        <v>2594.98</v>
      </c>
      <c r="AK83" s="139">
        <v>-1287.96</v>
      </c>
      <c r="AR83" s="56"/>
      <c r="AS83" s="56"/>
    </row>
    <row r="84" spans="1:45" x14ac:dyDescent="0.25">
      <c r="A84" s="138">
        <v>662.1</v>
      </c>
      <c r="B84" t="s">
        <v>314</v>
      </c>
      <c r="C84" t="s">
        <v>225</v>
      </c>
      <c r="D84" s="58">
        <v>1</v>
      </c>
      <c r="V84" s="146">
        <v>0</v>
      </c>
      <c r="W84" s="146"/>
      <c r="X84" s="139"/>
      <c r="Y84" s="146"/>
      <c r="AC84" s="139"/>
      <c r="AI84" s="139">
        <v>186.41</v>
      </c>
      <c r="AK84" s="139">
        <v>4144.37</v>
      </c>
      <c r="AR84" s="56"/>
      <c r="AS84" s="56"/>
    </row>
    <row r="85" spans="1:45" x14ac:dyDescent="0.25">
      <c r="A85" s="8">
        <v>501.04</v>
      </c>
      <c r="B85" t="s">
        <v>154</v>
      </c>
      <c r="C85" t="s">
        <v>214</v>
      </c>
      <c r="D85" s="58">
        <v>2</v>
      </c>
      <c r="G85" t="s">
        <v>155</v>
      </c>
      <c r="H85" s="57">
        <v>0.16500000000000001</v>
      </c>
      <c r="I85" s="57">
        <v>0.16500000000000001</v>
      </c>
      <c r="J85" s="56">
        <v>-140.05000000000001</v>
      </c>
      <c r="K85" s="56">
        <v>0</v>
      </c>
      <c r="L85" s="56">
        <v>0</v>
      </c>
      <c r="M85" s="56">
        <v>-38.24</v>
      </c>
      <c r="N85" s="56">
        <v>0</v>
      </c>
      <c r="O85" s="56">
        <v>0</v>
      </c>
      <c r="P85" s="56">
        <v>0</v>
      </c>
      <c r="Q85" s="56">
        <v>0</v>
      </c>
      <c r="R85" s="56">
        <v>0</v>
      </c>
      <c r="S85" s="56">
        <v>0</v>
      </c>
      <c r="T85" s="56">
        <v>-121</v>
      </c>
      <c r="U85" s="56">
        <v>0</v>
      </c>
      <c r="V85" s="146">
        <v>0</v>
      </c>
      <c r="W85" s="146"/>
      <c r="X85" s="139"/>
      <c r="Y85" s="146"/>
      <c r="AC85" s="139"/>
      <c r="AR85" s="56"/>
      <c r="AS85" s="56"/>
    </row>
    <row r="86" spans="1:45" x14ac:dyDescent="0.25">
      <c r="A86" s="8">
        <v>501.1</v>
      </c>
      <c r="B86" t="s">
        <v>156</v>
      </c>
      <c r="C86" t="s">
        <v>214</v>
      </c>
      <c r="D86" s="58">
        <v>2</v>
      </c>
      <c r="G86" t="s">
        <v>155</v>
      </c>
      <c r="H86" s="57">
        <v>0.27</v>
      </c>
      <c r="I86" s="57">
        <v>0.27</v>
      </c>
      <c r="J86" s="56">
        <v>0</v>
      </c>
      <c r="K86" s="56">
        <v>0</v>
      </c>
      <c r="L86" s="56">
        <v>0</v>
      </c>
      <c r="M86" s="56">
        <v>0</v>
      </c>
      <c r="N86" s="56">
        <v>0</v>
      </c>
      <c r="O86" s="56">
        <v>-91.02</v>
      </c>
      <c r="P86" s="56">
        <v>0</v>
      </c>
      <c r="Q86" s="56">
        <v>0</v>
      </c>
      <c r="R86" s="56">
        <v>0</v>
      </c>
      <c r="S86" s="56">
        <v>0</v>
      </c>
      <c r="T86" s="56">
        <v>-396.92</v>
      </c>
      <c r="U86" s="56">
        <v>0</v>
      </c>
      <c r="V86" s="146">
        <v>0</v>
      </c>
      <c r="W86" s="146"/>
      <c r="X86" s="139"/>
      <c r="Y86" s="146">
        <v>-90</v>
      </c>
      <c r="AA86" s="139">
        <v>-1454.42</v>
      </c>
      <c r="AC86" s="139"/>
      <c r="AH86" s="56"/>
      <c r="AJ86" s="56"/>
      <c r="AL86" s="56"/>
      <c r="AN86" s="56"/>
      <c r="AR86" s="56"/>
      <c r="AS86" s="56"/>
    </row>
    <row r="87" spans="1:45" x14ac:dyDescent="0.25">
      <c r="A87" s="8">
        <v>501.11</v>
      </c>
      <c r="B87" t="s">
        <v>157</v>
      </c>
      <c r="C87" t="s">
        <v>214</v>
      </c>
      <c r="D87" s="58">
        <v>2</v>
      </c>
      <c r="G87" t="s">
        <v>155</v>
      </c>
      <c r="H87" s="57">
        <v>1.3069999999999999</v>
      </c>
      <c r="I87" s="57">
        <v>1.3069999999999999</v>
      </c>
      <c r="J87" s="56">
        <v>-72</v>
      </c>
      <c r="K87" s="56">
        <v>0</v>
      </c>
      <c r="L87" s="56">
        <v>0</v>
      </c>
      <c r="M87" s="56">
        <v>0</v>
      </c>
      <c r="N87" s="56">
        <v>0</v>
      </c>
      <c r="O87" s="56">
        <v>-22</v>
      </c>
      <c r="P87" s="56">
        <v>-539.16999999999996</v>
      </c>
      <c r="Q87" s="56">
        <v>-1346</v>
      </c>
      <c r="R87" s="56">
        <v>0</v>
      </c>
      <c r="S87" s="56">
        <v>-0.83</v>
      </c>
      <c r="T87" s="56">
        <v>0</v>
      </c>
      <c r="U87" s="56">
        <v>-387</v>
      </c>
      <c r="V87" s="146">
        <v>0</v>
      </c>
      <c r="W87" s="146"/>
      <c r="X87" s="139"/>
      <c r="Y87" s="146"/>
      <c r="AC87" s="139"/>
      <c r="AK87" s="139">
        <v>-893.61</v>
      </c>
      <c r="AR87" s="56"/>
      <c r="AS87" s="56"/>
    </row>
    <row r="88" spans="1:45" x14ac:dyDescent="0.25">
      <c r="A88" s="8">
        <v>501.15</v>
      </c>
      <c r="B88" t="s">
        <v>158</v>
      </c>
      <c r="C88" t="s">
        <v>214</v>
      </c>
      <c r="D88" s="58">
        <v>2</v>
      </c>
      <c r="G88" t="s">
        <v>155</v>
      </c>
      <c r="H88" s="57">
        <v>0.20899999999999999</v>
      </c>
      <c r="I88" s="57">
        <v>0.20899999999999999</v>
      </c>
      <c r="J88" s="56">
        <v>0</v>
      </c>
      <c r="K88" s="56">
        <v>0</v>
      </c>
      <c r="L88" s="56">
        <v>-152.33000000000001</v>
      </c>
      <c r="M88" s="56">
        <v>0</v>
      </c>
      <c r="N88" s="56">
        <v>0</v>
      </c>
      <c r="O88" s="56">
        <v>-96.48</v>
      </c>
      <c r="P88" s="56">
        <v>0</v>
      </c>
      <c r="Q88" s="56">
        <v>0</v>
      </c>
      <c r="R88" s="56">
        <v>-15.83</v>
      </c>
      <c r="S88" s="56">
        <v>0</v>
      </c>
      <c r="T88" s="56">
        <v>-107.35</v>
      </c>
      <c r="U88" s="56">
        <v>-5.95</v>
      </c>
      <c r="V88" s="146">
        <v>0</v>
      </c>
      <c r="W88" s="146"/>
      <c r="X88" s="139"/>
      <c r="Y88" s="146"/>
      <c r="AC88" s="139"/>
      <c r="AK88" s="139">
        <v>-150.41</v>
      </c>
      <c r="AR88" s="56"/>
      <c r="AS88" s="56"/>
    </row>
    <row r="89" spans="1:45" x14ac:dyDescent="0.25">
      <c r="A89" s="8">
        <v>501.21</v>
      </c>
      <c r="B89" t="s">
        <v>134</v>
      </c>
      <c r="C89" t="s">
        <v>214</v>
      </c>
      <c r="D89" s="58">
        <v>2</v>
      </c>
      <c r="G89" t="s">
        <v>155</v>
      </c>
      <c r="H89" s="57">
        <v>8.1000000000000003E-2</v>
      </c>
      <c r="I89" s="57">
        <v>8.1000000000000003E-2</v>
      </c>
      <c r="J89" s="56">
        <v>0</v>
      </c>
      <c r="K89" s="56">
        <v>0</v>
      </c>
      <c r="L89" s="56">
        <v>0</v>
      </c>
      <c r="M89" s="56">
        <v>0</v>
      </c>
      <c r="N89" s="56">
        <v>0</v>
      </c>
      <c r="O89" s="56">
        <v>-70.459999999999994</v>
      </c>
      <c r="P89" s="56">
        <v>0</v>
      </c>
      <c r="Q89" s="56">
        <v>0</v>
      </c>
      <c r="R89" s="56">
        <v>0</v>
      </c>
      <c r="S89" s="56">
        <v>0</v>
      </c>
      <c r="T89" s="56">
        <v>-62.33</v>
      </c>
      <c r="U89" s="56">
        <v>-14.17</v>
      </c>
      <c r="V89" s="146">
        <v>0</v>
      </c>
      <c r="W89" s="146"/>
      <c r="X89" s="139"/>
      <c r="Y89" s="146"/>
      <c r="AC89" s="139"/>
      <c r="AR89" s="56"/>
      <c r="AS89" s="56"/>
    </row>
    <row r="90" spans="1:45" x14ac:dyDescent="0.25">
      <c r="A90" s="8">
        <v>501.6</v>
      </c>
      <c r="B90" t="s">
        <v>159</v>
      </c>
      <c r="C90" t="s">
        <v>214</v>
      </c>
      <c r="D90" s="58">
        <v>2</v>
      </c>
      <c r="G90" t="s">
        <v>155</v>
      </c>
      <c r="H90" s="57">
        <v>0.43099999999999999</v>
      </c>
      <c r="I90" s="57">
        <v>0.43099999999999999</v>
      </c>
      <c r="J90" s="56">
        <v>-25.74</v>
      </c>
      <c r="K90" s="56">
        <v>-108.74</v>
      </c>
      <c r="L90" s="56">
        <v>-12.48</v>
      </c>
      <c r="M90" s="56">
        <v>-95.74</v>
      </c>
      <c r="N90" s="56">
        <v>-5.43</v>
      </c>
      <c r="O90" s="56">
        <v>0</v>
      </c>
      <c r="P90" s="56">
        <v>0</v>
      </c>
      <c r="Q90" s="56">
        <v>0</v>
      </c>
      <c r="R90" s="56">
        <v>0</v>
      </c>
      <c r="S90" s="56">
        <v>-277.44</v>
      </c>
      <c r="T90" s="56">
        <v>-208.84</v>
      </c>
      <c r="U90" s="56">
        <v>-45.69</v>
      </c>
      <c r="V90" s="146">
        <v>0</v>
      </c>
      <c r="W90" s="146"/>
      <c r="X90" s="139"/>
      <c r="Y90" s="146"/>
      <c r="AC90" s="139"/>
      <c r="AR90" s="56"/>
      <c r="AS90" s="56"/>
    </row>
    <row r="91" spans="1:45" x14ac:dyDescent="0.25">
      <c r="A91" s="8">
        <v>504.1</v>
      </c>
      <c r="B91" t="s">
        <v>251</v>
      </c>
      <c r="C91" t="s">
        <v>214</v>
      </c>
      <c r="D91" s="58">
        <v>2</v>
      </c>
      <c r="V91" s="146">
        <v>0</v>
      </c>
      <c r="W91" s="146"/>
      <c r="X91" s="139"/>
      <c r="Y91" s="146"/>
      <c r="AC91" s="139"/>
      <c r="AR91" s="56"/>
      <c r="AS91" s="56"/>
    </row>
    <row r="92" spans="1:45" x14ac:dyDescent="0.25">
      <c r="A92" s="8">
        <v>511.1</v>
      </c>
      <c r="B92" t="s">
        <v>160</v>
      </c>
      <c r="C92" t="s">
        <v>214</v>
      </c>
      <c r="D92" s="58">
        <v>2</v>
      </c>
      <c r="G92" t="s">
        <v>155</v>
      </c>
      <c r="H92" s="57">
        <v>0.42599999999999999</v>
      </c>
      <c r="I92" s="57">
        <v>0.42599999999999999</v>
      </c>
      <c r="J92" s="56">
        <v>0</v>
      </c>
      <c r="K92" s="56">
        <v>0</v>
      </c>
      <c r="L92" s="56">
        <v>0</v>
      </c>
      <c r="M92" s="56">
        <v>-163.33000000000001</v>
      </c>
      <c r="N92" s="56">
        <v>-566.14</v>
      </c>
      <c r="O92" s="56">
        <v>-41</v>
      </c>
      <c r="P92" s="56">
        <v>0</v>
      </c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146">
        <v>-163.33000000000001</v>
      </c>
      <c r="W92" s="146"/>
      <c r="X92" s="139"/>
      <c r="Y92" s="146"/>
      <c r="AC92" s="139"/>
      <c r="AK92" s="139">
        <v>-385</v>
      </c>
      <c r="AR92" s="56"/>
      <c r="AS92" s="56"/>
    </row>
    <row r="93" spans="1:45" x14ac:dyDescent="0.25">
      <c r="A93" s="8">
        <v>512.1</v>
      </c>
      <c r="B93" t="s">
        <v>119</v>
      </c>
      <c r="C93" t="s">
        <v>214</v>
      </c>
      <c r="D93" s="58">
        <v>2</v>
      </c>
      <c r="G93" t="s">
        <v>155</v>
      </c>
      <c r="H93" s="57">
        <v>0.17799999999999999</v>
      </c>
      <c r="I93" s="57">
        <v>0.17799999999999999</v>
      </c>
      <c r="J93" s="56">
        <v>-43.81</v>
      </c>
      <c r="K93" s="56">
        <v>-135.30000000000001</v>
      </c>
      <c r="L93" s="56">
        <v>0</v>
      </c>
      <c r="M93" s="56">
        <v>0</v>
      </c>
      <c r="N93" s="56">
        <v>-72.08</v>
      </c>
      <c r="O93" s="56">
        <v>0</v>
      </c>
      <c r="P93" s="56">
        <v>0</v>
      </c>
      <c r="Q93" s="56">
        <v>0</v>
      </c>
      <c r="R93" s="56">
        <v>0</v>
      </c>
      <c r="S93" s="56">
        <v>-71.599999999999994</v>
      </c>
      <c r="T93" s="56">
        <v>0</v>
      </c>
      <c r="U93" s="56">
        <v>0</v>
      </c>
      <c r="V93" s="146">
        <v>-14.56</v>
      </c>
      <c r="W93" s="146"/>
      <c r="X93" s="139"/>
      <c r="Y93" s="146"/>
      <c r="AC93" s="139"/>
      <c r="AK93" s="139">
        <v>-44.03</v>
      </c>
      <c r="AR93" s="56"/>
      <c r="AS93" s="56"/>
    </row>
    <row r="94" spans="1:45" x14ac:dyDescent="0.25">
      <c r="A94" s="8">
        <v>512.1</v>
      </c>
      <c r="B94" t="s">
        <v>278</v>
      </c>
      <c r="C94" t="s">
        <v>214</v>
      </c>
      <c r="D94" s="58">
        <v>2</v>
      </c>
      <c r="G94" t="s">
        <v>155</v>
      </c>
      <c r="H94" s="57">
        <v>0.17799999999999999</v>
      </c>
      <c r="I94" s="57">
        <v>0.17799999999999999</v>
      </c>
      <c r="J94" s="56">
        <v>-43.81</v>
      </c>
      <c r="K94" s="56">
        <v>-135.30000000000001</v>
      </c>
      <c r="L94" s="56">
        <v>0</v>
      </c>
      <c r="M94" s="56">
        <v>0</v>
      </c>
      <c r="N94" s="56">
        <v>-72.08</v>
      </c>
      <c r="O94" s="56">
        <v>0</v>
      </c>
      <c r="P94" s="56">
        <v>0</v>
      </c>
      <c r="Q94" s="56">
        <v>0</v>
      </c>
      <c r="R94" s="56">
        <v>0</v>
      </c>
      <c r="S94" s="56">
        <v>-71.599999999999994</v>
      </c>
      <c r="T94" s="56">
        <v>0</v>
      </c>
      <c r="U94" s="56">
        <v>0</v>
      </c>
      <c r="V94" s="146">
        <v>0</v>
      </c>
      <c r="W94" s="146"/>
      <c r="X94" s="139"/>
      <c r="Y94" s="146"/>
      <c r="AC94" s="139"/>
      <c r="AR94" s="56"/>
      <c r="AS94" s="56"/>
    </row>
    <row r="95" spans="1:45" x14ac:dyDescent="0.25">
      <c r="A95" s="8">
        <v>512.29999999999995</v>
      </c>
      <c r="B95" t="s">
        <v>288</v>
      </c>
      <c r="C95" t="s">
        <v>198</v>
      </c>
      <c r="D95" s="58">
        <v>2</v>
      </c>
      <c r="V95" s="146">
        <v>0</v>
      </c>
      <c r="W95" s="146"/>
      <c r="X95" s="139"/>
      <c r="Y95" s="146"/>
      <c r="AC95" s="139"/>
      <c r="AR95" s="56"/>
      <c r="AS95" s="56"/>
    </row>
    <row r="96" spans="1:45" x14ac:dyDescent="0.25">
      <c r="A96" s="8">
        <v>512.4</v>
      </c>
      <c r="B96" t="s">
        <v>161</v>
      </c>
      <c r="C96" t="s">
        <v>214</v>
      </c>
      <c r="D96" s="58">
        <v>2</v>
      </c>
      <c r="G96" t="s">
        <v>155</v>
      </c>
      <c r="H96" s="57">
        <v>3.0000000000000001E-3</v>
      </c>
      <c r="I96" s="57">
        <v>3.0000000000000001E-3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56">
        <v>0</v>
      </c>
      <c r="Q96" s="56">
        <v>-2.6</v>
      </c>
      <c r="R96" s="56">
        <v>0</v>
      </c>
      <c r="S96" s="56">
        <v>0</v>
      </c>
      <c r="T96" s="56">
        <v>0</v>
      </c>
      <c r="U96" s="56">
        <v>-2.4</v>
      </c>
      <c r="V96" s="146">
        <v>0</v>
      </c>
      <c r="W96" s="146"/>
      <c r="X96" s="139"/>
      <c r="Y96" s="146"/>
      <c r="AC96" s="139"/>
      <c r="AR96" s="56"/>
      <c r="AS96" s="56"/>
    </row>
    <row r="97" spans="1:45" x14ac:dyDescent="0.25">
      <c r="A97" s="8">
        <v>513.1</v>
      </c>
      <c r="B97" t="s">
        <v>101</v>
      </c>
      <c r="C97" t="s">
        <v>214</v>
      </c>
      <c r="D97" s="58">
        <v>2</v>
      </c>
      <c r="G97" t="s">
        <v>155</v>
      </c>
      <c r="H97" s="57">
        <v>2.4E-2</v>
      </c>
      <c r="I97" s="57">
        <v>2.4E-2</v>
      </c>
      <c r="J97" s="56">
        <v>0</v>
      </c>
      <c r="K97" s="56">
        <v>-13.72</v>
      </c>
      <c r="L97" s="56">
        <v>0</v>
      </c>
      <c r="M97" s="56">
        <v>0</v>
      </c>
      <c r="N97" s="56">
        <v>0</v>
      </c>
      <c r="O97" s="56">
        <v>0</v>
      </c>
      <c r="P97" s="56">
        <v>-29.98</v>
      </c>
      <c r="Q97" s="56">
        <v>0</v>
      </c>
      <c r="R97" s="56">
        <v>0</v>
      </c>
      <c r="S97" s="56">
        <v>0</v>
      </c>
      <c r="T97" s="56">
        <v>0</v>
      </c>
      <c r="U97" s="56">
        <v>0</v>
      </c>
      <c r="V97" s="146">
        <v>0</v>
      </c>
      <c r="W97" s="146"/>
      <c r="X97" s="139"/>
      <c r="Y97" s="146"/>
      <c r="AC97" s="139"/>
      <c r="AR97" s="56"/>
      <c r="AS97" s="56"/>
    </row>
    <row r="98" spans="1:45" x14ac:dyDescent="0.25">
      <c r="A98" s="8">
        <v>518.04999999999995</v>
      </c>
      <c r="B98" t="s">
        <v>235</v>
      </c>
      <c r="C98" t="s">
        <v>2</v>
      </c>
      <c r="D98" s="58">
        <v>2</v>
      </c>
      <c r="V98" s="146">
        <v>-2100</v>
      </c>
      <c r="W98" s="146"/>
      <c r="X98" s="139"/>
      <c r="Y98" s="146"/>
      <c r="AC98" s="139"/>
      <c r="AR98" s="56"/>
      <c r="AS98" s="56"/>
    </row>
    <row r="99" spans="1:45" x14ac:dyDescent="0.25">
      <c r="A99" s="8">
        <v>518.07000000000005</v>
      </c>
      <c r="B99" t="s">
        <v>117</v>
      </c>
      <c r="C99" t="s">
        <v>201</v>
      </c>
      <c r="D99" s="58">
        <v>2</v>
      </c>
      <c r="G99" t="s">
        <v>155</v>
      </c>
      <c r="H99" s="57">
        <v>1.0489999999999999</v>
      </c>
      <c r="I99" s="57">
        <v>1.0489999999999999</v>
      </c>
      <c r="J99" s="56">
        <v>0</v>
      </c>
      <c r="K99" s="56">
        <v>0</v>
      </c>
      <c r="L99" s="56">
        <v>-474.94</v>
      </c>
      <c r="M99" s="56">
        <v>0</v>
      </c>
      <c r="N99" s="56">
        <v>0</v>
      </c>
      <c r="O99" s="56">
        <v>-474.94</v>
      </c>
      <c r="P99" s="56">
        <v>0</v>
      </c>
      <c r="Q99" s="56">
        <v>0</v>
      </c>
      <c r="R99" s="56">
        <v>-474.94</v>
      </c>
      <c r="S99" s="56">
        <v>0</v>
      </c>
      <c r="T99" s="56">
        <v>0</v>
      </c>
      <c r="U99" s="56">
        <v>-474.94</v>
      </c>
      <c r="V99" s="146">
        <v>-1424.82</v>
      </c>
      <c r="W99" s="146"/>
      <c r="X99" s="139"/>
      <c r="Y99" s="146"/>
      <c r="AC99" s="139">
        <v>-899</v>
      </c>
      <c r="AE99" s="139">
        <v>-899</v>
      </c>
      <c r="AG99" s="139">
        <v>-899</v>
      </c>
      <c r="AI99" s="139">
        <v>-899</v>
      </c>
      <c r="AK99" s="139">
        <v>-899</v>
      </c>
      <c r="AR99" s="56"/>
      <c r="AS99" s="56"/>
    </row>
    <row r="100" spans="1:45" x14ac:dyDescent="0.25">
      <c r="A100" s="8">
        <v>518.1</v>
      </c>
      <c r="B100" t="s">
        <v>102</v>
      </c>
      <c r="C100" t="s">
        <v>214</v>
      </c>
      <c r="D100" s="58">
        <v>2</v>
      </c>
      <c r="G100" t="s">
        <v>155</v>
      </c>
      <c r="H100" s="57">
        <v>0.33</v>
      </c>
      <c r="I100" s="57">
        <v>0.33</v>
      </c>
      <c r="J100" s="56">
        <v>-52.68</v>
      </c>
      <c r="K100" s="56">
        <v>-105.22</v>
      </c>
      <c r="L100" s="56">
        <v>-101.96</v>
      </c>
      <c r="M100" s="56">
        <v>-26.22</v>
      </c>
      <c r="N100" s="56">
        <v>-49.12</v>
      </c>
      <c r="O100" s="56">
        <v>-57.72</v>
      </c>
      <c r="P100" s="56">
        <v>-32.72</v>
      </c>
      <c r="Q100" s="56">
        <v>-32.72</v>
      </c>
      <c r="R100" s="56">
        <v>-53.14</v>
      </c>
      <c r="S100" s="56">
        <v>-45.14</v>
      </c>
      <c r="T100" s="56">
        <v>-20.27</v>
      </c>
      <c r="U100" s="56">
        <v>-20.27</v>
      </c>
      <c r="V100" s="146">
        <v>0</v>
      </c>
      <c r="W100" s="146"/>
      <c r="X100" s="139"/>
      <c r="Y100" s="146"/>
      <c r="AC100" s="139"/>
      <c r="AR100" s="56"/>
      <c r="AS100" s="56"/>
    </row>
    <row r="101" spans="1:45" x14ac:dyDescent="0.25">
      <c r="A101" s="8">
        <v>518.20000000000005</v>
      </c>
      <c r="B101" t="s">
        <v>162</v>
      </c>
      <c r="C101" t="s">
        <v>214</v>
      </c>
      <c r="D101" s="58">
        <v>2</v>
      </c>
      <c r="G101" t="s">
        <v>155</v>
      </c>
      <c r="H101" s="57">
        <v>2.8130000000000002</v>
      </c>
      <c r="I101" s="57">
        <v>2.8130000000000002</v>
      </c>
      <c r="J101" s="56">
        <v>-596.66999999999996</v>
      </c>
      <c r="K101" s="56">
        <v>0</v>
      </c>
      <c r="L101" s="56">
        <v>0</v>
      </c>
      <c r="M101" s="56">
        <v>0</v>
      </c>
      <c r="N101" s="56">
        <v>-3003.33</v>
      </c>
      <c r="O101" s="56">
        <v>0</v>
      </c>
      <c r="P101" s="56">
        <v>0</v>
      </c>
      <c r="Q101" s="56">
        <v>0</v>
      </c>
      <c r="R101" s="56">
        <v>0</v>
      </c>
      <c r="S101" s="56">
        <v>0</v>
      </c>
      <c r="T101" s="56">
        <v>-609.16999999999996</v>
      </c>
      <c r="U101" s="56">
        <v>-883.33</v>
      </c>
      <c r="V101" s="146">
        <v>0</v>
      </c>
      <c r="W101" s="146"/>
      <c r="X101" s="139"/>
      <c r="Y101" s="146"/>
      <c r="AC101" s="139"/>
      <c r="AR101" s="56"/>
      <c r="AS101" s="56"/>
    </row>
    <row r="102" spans="1:45" x14ac:dyDescent="0.25">
      <c r="A102" s="8">
        <v>518.21</v>
      </c>
      <c r="B102" t="s">
        <v>103</v>
      </c>
      <c r="C102" t="s">
        <v>214</v>
      </c>
      <c r="D102" s="58">
        <v>2</v>
      </c>
      <c r="G102" t="s">
        <v>155</v>
      </c>
      <c r="H102" s="57">
        <v>20.992999999999999</v>
      </c>
      <c r="I102" s="57">
        <v>20.992999999999999</v>
      </c>
      <c r="J102" s="56">
        <v>-2250</v>
      </c>
      <c r="K102" s="56">
        <v>-1300</v>
      </c>
      <c r="L102" s="56">
        <v>-1000</v>
      </c>
      <c r="M102" s="56">
        <v>-1600</v>
      </c>
      <c r="N102" s="56">
        <v>-1580</v>
      </c>
      <c r="O102" s="56">
        <v>-3616</v>
      </c>
      <c r="P102" s="56">
        <v>-780</v>
      </c>
      <c r="Q102" s="56">
        <v>0</v>
      </c>
      <c r="R102" s="56">
        <v>-1495</v>
      </c>
      <c r="S102" s="56">
        <v>-5491</v>
      </c>
      <c r="T102" s="56">
        <v>-9460</v>
      </c>
      <c r="U102" s="56">
        <v>-9434.86</v>
      </c>
      <c r="V102" s="146">
        <v>0</v>
      </c>
      <c r="W102" s="146"/>
      <c r="X102" s="139"/>
      <c r="Y102" s="146"/>
      <c r="AC102" s="139"/>
      <c r="AR102" s="56"/>
      <c r="AS102" s="56"/>
    </row>
    <row r="103" spans="1:45" x14ac:dyDescent="0.25">
      <c r="A103" s="8">
        <v>518.22</v>
      </c>
      <c r="B103" t="s">
        <v>141</v>
      </c>
      <c r="C103" t="s">
        <v>214</v>
      </c>
      <c r="D103" s="58">
        <v>2</v>
      </c>
      <c r="G103" t="s">
        <v>155</v>
      </c>
      <c r="H103" s="57">
        <v>4.7610000000000001</v>
      </c>
      <c r="I103" s="57">
        <v>4.7610000000000001</v>
      </c>
      <c r="J103" s="56">
        <v>0</v>
      </c>
      <c r="K103" s="56">
        <v>0</v>
      </c>
      <c r="L103" s="56">
        <v>0</v>
      </c>
      <c r="M103" s="56">
        <v>0</v>
      </c>
      <c r="N103" s="56">
        <v>0</v>
      </c>
      <c r="O103" s="56">
        <v>-5213.87</v>
      </c>
      <c r="P103" s="56">
        <v>0</v>
      </c>
      <c r="Q103" s="56">
        <v>0</v>
      </c>
      <c r="R103" s="56">
        <v>0</v>
      </c>
      <c r="S103" s="56">
        <v>0</v>
      </c>
      <c r="T103" s="56">
        <v>0</v>
      </c>
      <c r="U103" s="56">
        <v>-3405.3</v>
      </c>
      <c r="V103" s="146">
        <v>0</v>
      </c>
      <c r="W103" s="146"/>
      <c r="X103" s="139"/>
      <c r="Y103" s="146"/>
      <c r="AC103" s="139"/>
      <c r="AR103" s="56"/>
      <c r="AS103" s="56"/>
    </row>
    <row r="104" spans="1:45" x14ac:dyDescent="0.25">
      <c r="A104" s="8">
        <v>518.23</v>
      </c>
      <c r="B104" t="s">
        <v>142</v>
      </c>
      <c r="C104" t="s">
        <v>214</v>
      </c>
      <c r="D104" s="58">
        <v>2</v>
      </c>
      <c r="G104" t="s">
        <v>155</v>
      </c>
      <c r="H104" s="57">
        <v>2.7519999999999998</v>
      </c>
      <c r="I104" s="57">
        <v>2.7519999999999998</v>
      </c>
      <c r="J104" s="56">
        <v>0</v>
      </c>
      <c r="K104" s="56">
        <v>0</v>
      </c>
      <c r="L104" s="56">
        <v>0</v>
      </c>
      <c r="M104" s="56">
        <v>0</v>
      </c>
      <c r="N104" s="56">
        <v>-1162.8</v>
      </c>
      <c r="O104" s="56">
        <v>0</v>
      </c>
      <c r="P104" s="56">
        <v>0</v>
      </c>
      <c r="Q104" s="56">
        <v>0</v>
      </c>
      <c r="R104" s="56">
        <v>0</v>
      </c>
      <c r="S104" s="56">
        <v>0</v>
      </c>
      <c r="T104" s="56">
        <v>-832.6</v>
      </c>
      <c r="U104" s="56">
        <v>-2987.38</v>
      </c>
      <c r="V104" s="146">
        <v>0</v>
      </c>
      <c r="W104" s="146"/>
      <c r="X104" s="139"/>
      <c r="Y104" s="146"/>
      <c r="AC104" s="139"/>
      <c r="AR104" s="56"/>
    </row>
    <row r="105" spans="1:45" x14ac:dyDescent="0.25">
      <c r="A105" s="8">
        <v>518.24</v>
      </c>
      <c r="B105" t="s">
        <v>252</v>
      </c>
      <c r="C105" t="s">
        <v>214</v>
      </c>
      <c r="D105" s="58">
        <v>2</v>
      </c>
      <c r="V105" s="146">
        <v>0</v>
      </c>
      <c r="W105" s="146"/>
      <c r="X105" s="139"/>
      <c r="Y105" s="146"/>
      <c r="AC105" s="139"/>
      <c r="AR105" s="56"/>
    </row>
    <row r="106" spans="1:45" x14ac:dyDescent="0.25">
      <c r="A106" s="8">
        <v>518.26</v>
      </c>
      <c r="B106" t="s">
        <v>143</v>
      </c>
      <c r="C106" t="s">
        <v>214</v>
      </c>
      <c r="D106" s="58">
        <v>2</v>
      </c>
      <c r="G106" t="s">
        <v>155</v>
      </c>
      <c r="H106" s="57">
        <v>0.746</v>
      </c>
      <c r="I106" s="57">
        <v>0.746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-13.2</v>
      </c>
      <c r="P106" s="56">
        <v>0</v>
      </c>
      <c r="Q106" s="56">
        <v>0</v>
      </c>
      <c r="R106" s="56">
        <v>-50</v>
      </c>
      <c r="S106" s="56">
        <v>0</v>
      </c>
      <c r="T106" s="56">
        <v>0</v>
      </c>
      <c r="U106" s="56">
        <v>-1288.27</v>
      </c>
      <c r="V106" s="146">
        <v>0</v>
      </c>
      <c r="W106" s="146"/>
      <c r="X106" s="139"/>
      <c r="Y106" s="146"/>
      <c r="AC106" s="139"/>
      <c r="AR106" s="56"/>
    </row>
    <row r="107" spans="1:45" x14ac:dyDescent="0.25">
      <c r="A107" s="8">
        <v>518.27</v>
      </c>
      <c r="B107" t="s">
        <v>253</v>
      </c>
      <c r="C107" t="s">
        <v>214</v>
      </c>
      <c r="D107" s="58">
        <v>2</v>
      </c>
      <c r="V107" s="146">
        <v>0</v>
      </c>
      <c r="W107" s="146"/>
      <c r="X107" s="139"/>
      <c r="Y107" s="146"/>
      <c r="AC107" s="139"/>
      <c r="AR107" s="56"/>
    </row>
    <row r="108" spans="1:45" x14ac:dyDescent="0.25">
      <c r="A108" s="8">
        <v>518.29999999999995</v>
      </c>
      <c r="B108" t="s">
        <v>104</v>
      </c>
      <c r="C108" t="s">
        <v>214</v>
      </c>
      <c r="D108" s="58">
        <v>2</v>
      </c>
      <c r="G108" t="s">
        <v>155</v>
      </c>
      <c r="H108" s="57">
        <v>18.094999999999999</v>
      </c>
      <c r="I108" s="57">
        <v>18.094999999999999</v>
      </c>
      <c r="J108" s="56">
        <v>-1835.56</v>
      </c>
      <c r="K108" s="56">
        <v>0</v>
      </c>
      <c r="L108" s="56">
        <v>0</v>
      </c>
      <c r="M108" s="56">
        <v>-148.19999999999999</v>
      </c>
      <c r="N108" s="56">
        <v>-10961.04</v>
      </c>
      <c r="O108" s="56">
        <v>-217.93</v>
      </c>
      <c r="P108" s="56">
        <v>0</v>
      </c>
      <c r="Q108" s="56">
        <v>0</v>
      </c>
      <c r="R108" s="56">
        <v>-799.07</v>
      </c>
      <c r="S108" s="56">
        <v>-1835.4</v>
      </c>
      <c r="T108" s="56">
        <v>-5012.76</v>
      </c>
      <c r="U108" s="56">
        <v>-11951.09</v>
      </c>
      <c r="V108" s="146">
        <v>0</v>
      </c>
      <c r="W108" s="146"/>
      <c r="X108" s="139"/>
      <c r="Y108" s="146"/>
      <c r="AC108" s="139"/>
      <c r="AR108" s="56"/>
    </row>
    <row r="109" spans="1:45" x14ac:dyDescent="0.25">
      <c r="A109" s="8">
        <v>518.4</v>
      </c>
      <c r="B109" t="s">
        <v>163</v>
      </c>
      <c r="C109" t="s">
        <v>214</v>
      </c>
      <c r="D109" s="58">
        <v>2</v>
      </c>
      <c r="G109" t="s">
        <v>155</v>
      </c>
      <c r="H109" s="57">
        <v>7.2930000000000001</v>
      </c>
      <c r="I109" s="57">
        <v>7.2930000000000001</v>
      </c>
      <c r="J109" s="56">
        <v>0</v>
      </c>
      <c r="K109" s="56">
        <v>0</v>
      </c>
      <c r="L109" s="56">
        <v>-3296</v>
      </c>
      <c r="M109" s="56">
        <v>0</v>
      </c>
      <c r="N109" s="56">
        <v>0</v>
      </c>
      <c r="O109" s="56">
        <v>-3296</v>
      </c>
      <c r="P109" s="56">
        <v>0</v>
      </c>
      <c r="Q109" s="56">
        <v>0</v>
      </c>
      <c r="R109" s="56">
        <v>-3296</v>
      </c>
      <c r="S109" s="56">
        <v>0</v>
      </c>
      <c r="T109" s="56">
        <v>0</v>
      </c>
      <c r="U109" s="56">
        <v>-3316</v>
      </c>
      <c r="V109" s="146">
        <v>0</v>
      </c>
      <c r="W109" s="146"/>
      <c r="X109" s="139"/>
      <c r="Y109" s="146"/>
      <c r="AC109" s="139"/>
      <c r="AR109" s="56"/>
    </row>
    <row r="110" spans="1:45" x14ac:dyDescent="0.25">
      <c r="A110" s="8">
        <v>518.41</v>
      </c>
      <c r="B110" t="s">
        <v>164</v>
      </c>
      <c r="C110" t="s">
        <v>214</v>
      </c>
      <c r="D110" s="58">
        <v>2</v>
      </c>
      <c r="G110" t="s">
        <v>155</v>
      </c>
      <c r="H110" s="57">
        <v>2.016</v>
      </c>
      <c r="I110" s="57">
        <v>2.016</v>
      </c>
      <c r="J110" s="56">
        <v>0</v>
      </c>
      <c r="K110" s="56">
        <v>0</v>
      </c>
      <c r="L110" s="56">
        <v>-969.74</v>
      </c>
      <c r="M110" s="56">
        <v>0</v>
      </c>
      <c r="N110" s="56">
        <v>0</v>
      </c>
      <c r="O110" s="56">
        <v>-969.74</v>
      </c>
      <c r="P110" s="56">
        <v>0</v>
      </c>
      <c r="Q110" s="56">
        <v>0</v>
      </c>
      <c r="R110" s="56">
        <v>-969.74</v>
      </c>
      <c r="S110" s="56">
        <v>0</v>
      </c>
      <c r="T110" s="56">
        <v>0</v>
      </c>
      <c r="U110" s="56">
        <v>-740.43</v>
      </c>
      <c r="V110" s="146">
        <v>0</v>
      </c>
      <c r="W110" s="146"/>
      <c r="X110" s="139"/>
      <c r="Y110" s="146"/>
      <c r="AC110" s="139"/>
      <c r="AR110" s="56"/>
    </row>
    <row r="111" spans="1:45" x14ac:dyDescent="0.25">
      <c r="A111" s="8">
        <v>518.41999999999996</v>
      </c>
      <c r="B111" t="s">
        <v>105</v>
      </c>
      <c r="C111" t="s">
        <v>214</v>
      </c>
      <c r="D111" s="58">
        <v>2</v>
      </c>
      <c r="G111" t="s">
        <v>155</v>
      </c>
      <c r="H111" s="57">
        <v>0.629</v>
      </c>
      <c r="I111" s="57">
        <v>0.629</v>
      </c>
      <c r="J111" s="56">
        <v>-103.57</v>
      </c>
      <c r="K111" s="56">
        <v>-103.57</v>
      </c>
      <c r="L111" s="56">
        <v>-103.57</v>
      </c>
      <c r="M111" s="56">
        <v>-103.57</v>
      </c>
      <c r="N111" s="56">
        <v>-103.57</v>
      </c>
      <c r="O111" s="56">
        <v>-103.57</v>
      </c>
      <c r="P111" s="56">
        <v>-103.57</v>
      </c>
      <c r="Q111" s="56">
        <v>0</v>
      </c>
      <c r="R111" s="56">
        <v>-103.57</v>
      </c>
      <c r="S111" s="56">
        <v>-103.57</v>
      </c>
      <c r="T111" s="56">
        <v>-103.57</v>
      </c>
      <c r="U111" s="56">
        <v>-103.57</v>
      </c>
      <c r="V111" s="146">
        <v>0</v>
      </c>
      <c r="W111" s="146"/>
      <c r="X111" s="139"/>
      <c r="Y111" s="146"/>
      <c r="AC111" s="139"/>
      <c r="AR111" s="56"/>
    </row>
    <row r="112" spans="1:45" x14ac:dyDescent="0.25">
      <c r="A112" s="8">
        <v>518.42999999999995</v>
      </c>
      <c r="B112" t="s">
        <v>287</v>
      </c>
      <c r="C112" t="s">
        <v>208</v>
      </c>
      <c r="D112" s="58">
        <v>2</v>
      </c>
      <c r="V112" s="146">
        <v>0</v>
      </c>
      <c r="W112" s="146"/>
      <c r="X112" s="139"/>
      <c r="Y112" s="146"/>
      <c r="AC112" s="139"/>
      <c r="AR112" s="56"/>
    </row>
    <row r="113" spans="1:47" x14ac:dyDescent="0.25">
      <c r="A113" s="8">
        <v>518.5</v>
      </c>
      <c r="B113" t="s">
        <v>106</v>
      </c>
      <c r="C113" t="s">
        <v>214</v>
      </c>
      <c r="D113" s="58">
        <v>2</v>
      </c>
      <c r="G113" t="s">
        <v>155</v>
      </c>
      <c r="H113" s="57">
        <v>1.2730000000000001</v>
      </c>
      <c r="I113" s="57">
        <v>1.2730000000000001</v>
      </c>
      <c r="J113" s="56">
        <v>-218.67</v>
      </c>
      <c r="K113" s="56">
        <v>-240.52</v>
      </c>
      <c r="L113" s="56">
        <v>-207.81</v>
      </c>
      <c r="M113" s="56">
        <v>-222.93</v>
      </c>
      <c r="N113" s="56">
        <v>-219.44</v>
      </c>
      <c r="O113" s="56">
        <v>-222.51</v>
      </c>
      <c r="P113" s="56">
        <v>-225.69</v>
      </c>
      <c r="Q113" s="56">
        <v>-214.02</v>
      </c>
      <c r="R113" s="56">
        <v>-167.8</v>
      </c>
      <c r="S113" s="56">
        <v>-178.45</v>
      </c>
      <c r="T113" s="56">
        <v>-187.11</v>
      </c>
      <c r="U113" s="56">
        <v>0</v>
      </c>
      <c r="V113" s="146">
        <v>0</v>
      </c>
      <c r="W113" s="146"/>
      <c r="X113" s="139"/>
      <c r="Y113" s="146"/>
      <c r="AC113" s="139"/>
      <c r="AR113" s="56"/>
    </row>
    <row r="114" spans="1:47" x14ac:dyDescent="0.25">
      <c r="A114" s="8">
        <v>518.51</v>
      </c>
      <c r="B114" t="s">
        <v>285</v>
      </c>
      <c r="C114" s="9" t="s">
        <v>10</v>
      </c>
      <c r="D114" s="58">
        <v>2</v>
      </c>
      <c r="V114" s="146">
        <v>0</v>
      </c>
      <c r="W114" s="146"/>
      <c r="X114" s="139"/>
      <c r="Y114" s="146"/>
      <c r="AC114" s="139"/>
      <c r="AR114" s="56"/>
    </row>
    <row r="115" spans="1:47" x14ac:dyDescent="0.25">
      <c r="A115" s="8">
        <v>518.6</v>
      </c>
      <c r="B115" t="s">
        <v>165</v>
      </c>
      <c r="C115" t="s">
        <v>214</v>
      </c>
      <c r="D115" s="58">
        <v>2</v>
      </c>
      <c r="G115" t="s">
        <v>155</v>
      </c>
      <c r="H115" s="57">
        <v>0.107</v>
      </c>
      <c r="I115" s="57">
        <v>0.107</v>
      </c>
      <c r="J115" s="56">
        <v>-93.4</v>
      </c>
      <c r="K115" s="56">
        <v>-4.1500000000000004</v>
      </c>
      <c r="L115" s="56">
        <v>-5.3</v>
      </c>
      <c r="M115" s="56">
        <v>-1.25</v>
      </c>
      <c r="N115" s="56">
        <v>-1.4</v>
      </c>
      <c r="O115" s="56">
        <v>-3.4</v>
      </c>
      <c r="P115" s="56">
        <v>-2.7</v>
      </c>
      <c r="Q115" s="56">
        <v>-40.22</v>
      </c>
      <c r="R115" s="56">
        <v>-5</v>
      </c>
      <c r="S115" s="56">
        <v>-0.5</v>
      </c>
      <c r="T115" s="56">
        <v>-5.2</v>
      </c>
      <c r="U115" s="56">
        <v>-30.45</v>
      </c>
      <c r="V115" s="146">
        <v>0</v>
      </c>
      <c r="W115" s="146"/>
      <c r="X115" s="139"/>
      <c r="Y115" s="146"/>
      <c r="AC115" s="139"/>
      <c r="AR115" s="56"/>
    </row>
    <row r="116" spans="1:47" x14ac:dyDescent="0.25">
      <c r="A116" s="8">
        <v>518.70000000000005</v>
      </c>
      <c r="B116" t="s">
        <v>166</v>
      </c>
      <c r="C116" t="s">
        <v>214</v>
      </c>
      <c r="D116" s="58">
        <v>2</v>
      </c>
      <c r="G116" t="s">
        <v>155</v>
      </c>
      <c r="H116" s="57">
        <v>1.1599999999999999</v>
      </c>
      <c r="I116" s="57">
        <v>1.1599999999999999</v>
      </c>
      <c r="J116" s="56">
        <v>0</v>
      </c>
      <c r="K116" s="56">
        <v>0</v>
      </c>
      <c r="L116" s="56">
        <v>0</v>
      </c>
      <c r="M116" s="56">
        <v>0</v>
      </c>
      <c r="N116" s="56">
        <v>0</v>
      </c>
      <c r="O116" s="56">
        <v>0</v>
      </c>
      <c r="P116" s="56">
        <v>0</v>
      </c>
      <c r="Q116" s="56">
        <v>0</v>
      </c>
      <c r="R116" s="56">
        <v>0</v>
      </c>
      <c r="S116" s="56">
        <v>0</v>
      </c>
      <c r="T116" s="56">
        <v>0</v>
      </c>
      <c r="U116" s="56">
        <v>-2100</v>
      </c>
      <c r="V116" s="146">
        <v>0</v>
      </c>
      <c r="W116" s="146"/>
      <c r="X116" s="139"/>
      <c r="Y116" s="146"/>
      <c r="AC116" s="139"/>
      <c r="AR116" s="56"/>
    </row>
    <row r="117" spans="1:47" x14ac:dyDescent="0.25">
      <c r="A117" s="8">
        <v>518.71</v>
      </c>
      <c r="B117" t="s">
        <v>167</v>
      </c>
      <c r="C117" t="s">
        <v>214</v>
      </c>
      <c r="D117" s="58">
        <v>2</v>
      </c>
      <c r="G117" t="s">
        <v>155</v>
      </c>
      <c r="H117" s="57">
        <v>5.468</v>
      </c>
      <c r="I117" s="57">
        <v>5.468</v>
      </c>
      <c r="J117" s="56">
        <v>0</v>
      </c>
      <c r="K117" s="56">
        <v>0</v>
      </c>
      <c r="L117" s="56">
        <v>0</v>
      </c>
      <c r="M117" s="56">
        <v>0</v>
      </c>
      <c r="N117" s="56">
        <v>0</v>
      </c>
      <c r="O117" s="56">
        <v>0</v>
      </c>
      <c r="P117" s="56">
        <v>0</v>
      </c>
      <c r="Q117" s="56">
        <v>0</v>
      </c>
      <c r="R117" s="56">
        <v>0</v>
      </c>
      <c r="S117" s="56">
        <v>0</v>
      </c>
      <c r="T117" s="56">
        <v>0</v>
      </c>
      <c r="U117" s="56">
        <v>-9900</v>
      </c>
      <c r="V117" s="146">
        <v>0</v>
      </c>
      <c r="W117" s="146"/>
      <c r="X117" s="139"/>
      <c r="Y117" s="146"/>
      <c r="AC117" s="139"/>
      <c r="AR117" s="56"/>
    </row>
    <row r="118" spans="1:47" x14ac:dyDescent="0.25">
      <c r="A118" s="8">
        <v>518.79999999999995</v>
      </c>
      <c r="B118" t="s">
        <v>108</v>
      </c>
      <c r="C118" t="s">
        <v>214</v>
      </c>
      <c r="D118" s="58">
        <v>2</v>
      </c>
      <c r="G118" t="s">
        <v>155</v>
      </c>
      <c r="H118" s="57">
        <v>0.42499999999999999</v>
      </c>
      <c r="I118" s="57">
        <v>0.42499999999999999</v>
      </c>
      <c r="J118" s="56">
        <v>0</v>
      </c>
      <c r="K118" s="56">
        <v>-770</v>
      </c>
      <c r="L118" s="56">
        <v>0</v>
      </c>
      <c r="M118" s="56">
        <v>0</v>
      </c>
      <c r="N118" s="56">
        <v>0</v>
      </c>
      <c r="O118" s="56">
        <v>0</v>
      </c>
      <c r="P118" s="56">
        <v>0</v>
      </c>
      <c r="Q118" s="56">
        <v>0</v>
      </c>
      <c r="R118" s="56">
        <v>0</v>
      </c>
      <c r="S118" s="56">
        <v>0</v>
      </c>
      <c r="T118" s="56">
        <v>0</v>
      </c>
      <c r="U118" s="56">
        <v>0</v>
      </c>
      <c r="V118" s="146">
        <v>0</v>
      </c>
      <c r="W118" s="146"/>
      <c r="X118" s="139"/>
      <c r="Y118" s="146"/>
      <c r="AC118" s="139"/>
      <c r="AR118" s="56"/>
    </row>
    <row r="119" spans="1:47" x14ac:dyDescent="0.25">
      <c r="A119" s="8">
        <v>518.9</v>
      </c>
      <c r="B119" t="s">
        <v>118</v>
      </c>
      <c r="C119" t="s">
        <v>214</v>
      </c>
      <c r="D119" s="58">
        <v>2</v>
      </c>
      <c r="G119" t="s">
        <v>155</v>
      </c>
      <c r="H119" s="57">
        <v>3.0000000000000001E-3</v>
      </c>
      <c r="I119" s="57">
        <v>3.0000000000000001E-3</v>
      </c>
      <c r="J119" s="56">
        <v>-6</v>
      </c>
      <c r="K119" s="56">
        <v>0</v>
      </c>
      <c r="L119" s="56">
        <v>0</v>
      </c>
      <c r="M119" s="56">
        <v>0</v>
      </c>
      <c r="N119" s="56">
        <v>0</v>
      </c>
      <c r="O119" s="56">
        <v>0</v>
      </c>
      <c r="P119" s="56">
        <v>0</v>
      </c>
      <c r="Q119" s="56">
        <v>0</v>
      </c>
      <c r="R119" s="56">
        <v>0</v>
      </c>
      <c r="S119" s="56">
        <v>0</v>
      </c>
      <c r="T119" s="56">
        <v>0</v>
      </c>
      <c r="U119" s="56">
        <v>0</v>
      </c>
      <c r="V119" s="146">
        <v>-6</v>
      </c>
      <c r="W119" s="146"/>
      <c r="X119" s="139"/>
      <c r="Y119" s="146"/>
      <c r="AC119" s="139"/>
      <c r="AR119" s="56"/>
    </row>
    <row r="120" spans="1:47" x14ac:dyDescent="0.25">
      <c r="A120" s="8">
        <v>518.91999999999996</v>
      </c>
      <c r="B120" t="s">
        <v>168</v>
      </c>
      <c r="C120" t="s">
        <v>202</v>
      </c>
      <c r="D120" s="58">
        <v>2</v>
      </c>
      <c r="G120" t="s">
        <v>155</v>
      </c>
      <c r="H120" s="57">
        <v>1.0720000000000001</v>
      </c>
      <c r="I120" s="57">
        <v>1.0720000000000001</v>
      </c>
      <c r="J120" s="56">
        <v>-148</v>
      </c>
      <c r="K120" s="56">
        <v>-1054</v>
      </c>
      <c r="L120" s="56">
        <v>-28</v>
      </c>
      <c r="M120" s="56">
        <v>-58</v>
      </c>
      <c r="N120" s="56">
        <v>-28</v>
      </c>
      <c r="O120" s="56">
        <v>-28</v>
      </c>
      <c r="P120" s="56">
        <v>-226.55</v>
      </c>
      <c r="Q120" s="56">
        <v>-28</v>
      </c>
      <c r="R120" s="56">
        <v>-28</v>
      </c>
      <c r="S120" s="56">
        <v>-259</v>
      </c>
      <c r="T120" s="56">
        <v>-28</v>
      </c>
      <c r="U120" s="56">
        <v>-28</v>
      </c>
      <c r="V120" s="146">
        <v>-198.55</v>
      </c>
      <c r="W120" s="146"/>
      <c r="X120" s="139"/>
      <c r="Y120" s="146">
        <v>-1425.09</v>
      </c>
      <c r="AA120" s="139">
        <v>-1425.09</v>
      </c>
      <c r="AC120" s="139"/>
      <c r="AH120" s="56"/>
      <c r="AJ120" s="56"/>
      <c r="AL120" s="56"/>
      <c r="AN120" s="56"/>
      <c r="AR120" s="56"/>
    </row>
    <row r="121" spans="1:47" x14ac:dyDescent="0.25">
      <c r="A121" s="8">
        <v>521.1</v>
      </c>
      <c r="B121" t="s">
        <v>169</v>
      </c>
      <c r="C121" s="9" t="s">
        <v>40</v>
      </c>
      <c r="D121" s="58">
        <v>2</v>
      </c>
      <c r="G121" t="s">
        <v>155</v>
      </c>
      <c r="H121" s="57">
        <v>14.834</v>
      </c>
      <c r="I121" s="57">
        <v>14.834</v>
      </c>
      <c r="J121" s="56">
        <v>-2470.1</v>
      </c>
      <c r="K121" s="56">
        <v>-2778.06</v>
      </c>
      <c r="L121" s="56">
        <v>-2686.63</v>
      </c>
      <c r="M121" s="56">
        <v>-1690</v>
      </c>
      <c r="N121" s="56">
        <v>-1698.35</v>
      </c>
      <c r="O121" s="56">
        <v>-1546.32</v>
      </c>
      <c r="P121" s="56">
        <v>-1488.91</v>
      </c>
      <c r="Q121" s="56">
        <v>-1546.45</v>
      </c>
      <c r="R121" s="56">
        <v>-1773.76</v>
      </c>
      <c r="S121" s="56">
        <v>-1540</v>
      </c>
      <c r="T121" s="56">
        <v>-7638.58</v>
      </c>
      <c r="U121" s="56">
        <v>0</v>
      </c>
      <c r="V121" s="146">
        <v>-4569.38</v>
      </c>
      <c r="W121" s="146"/>
      <c r="X121" s="139"/>
      <c r="Y121" s="146">
        <v>-4184.7</v>
      </c>
      <c r="AA121" s="139">
        <v>-4523.82</v>
      </c>
      <c r="AC121" s="139">
        <v>-6301.97</v>
      </c>
      <c r="AE121" s="139">
        <v>-5106.8100000000004</v>
      </c>
      <c r="AG121" s="139">
        <v>-5721.4</v>
      </c>
      <c r="AH121" s="56"/>
      <c r="AI121" s="139">
        <v>-6292.55</v>
      </c>
      <c r="AJ121" s="56"/>
      <c r="AK121" s="139">
        <v>-6377.65</v>
      </c>
      <c r="AL121" s="56"/>
      <c r="AN121" s="56"/>
      <c r="AR121" s="56"/>
    </row>
    <row r="122" spans="1:47" x14ac:dyDescent="0.25">
      <c r="A122" s="8">
        <v>521.20000000000005</v>
      </c>
      <c r="B122" t="s">
        <v>109</v>
      </c>
      <c r="C122" s="9" t="s">
        <v>40</v>
      </c>
      <c r="D122" s="58">
        <v>2</v>
      </c>
      <c r="G122" t="s">
        <v>155</v>
      </c>
      <c r="H122" s="57">
        <v>1.2150000000000001</v>
      </c>
      <c r="I122" s="57">
        <v>1.2150000000000001</v>
      </c>
      <c r="J122" s="56">
        <v>-200</v>
      </c>
      <c r="K122" s="56">
        <v>-200</v>
      </c>
      <c r="L122" s="56">
        <v>-200</v>
      </c>
      <c r="M122" s="56">
        <v>-200</v>
      </c>
      <c r="N122" s="56">
        <v>-200</v>
      </c>
      <c r="O122" s="56">
        <v>-200</v>
      </c>
      <c r="P122" s="56">
        <v>-200</v>
      </c>
      <c r="Q122" s="56">
        <v>-200</v>
      </c>
      <c r="R122" s="56">
        <v>-200</v>
      </c>
      <c r="S122" s="56">
        <v>-200</v>
      </c>
      <c r="T122" s="56">
        <v>-200</v>
      </c>
      <c r="U122" s="56">
        <v>0</v>
      </c>
      <c r="V122" s="146">
        <v>0</v>
      </c>
      <c r="W122" s="146"/>
      <c r="X122" s="139"/>
      <c r="Y122" s="146"/>
      <c r="AC122" s="139"/>
      <c r="AR122" s="56"/>
    </row>
    <row r="123" spans="1:47" x14ac:dyDescent="0.25">
      <c r="A123" s="8">
        <v>523.1</v>
      </c>
      <c r="B123" t="s">
        <v>110</v>
      </c>
      <c r="C123" s="9" t="s">
        <v>40</v>
      </c>
      <c r="D123" s="58">
        <v>2</v>
      </c>
      <c r="G123" t="s">
        <v>155</v>
      </c>
      <c r="H123" s="57">
        <v>2.347</v>
      </c>
      <c r="I123" s="57">
        <v>2.347</v>
      </c>
      <c r="J123" s="56">
        <v>-850</v>
      </c>
      <c r="K123" s="56">
        <v>-850</v>
      </c>
      <c r="L123" s="56">
        <v>-850</v>
      </c>
      <c r="M123" s="56">
        <v>-850</v>
      </c>
      <c r="N123" s="56">
        <v>-850</v>
      </c>
      <c r="O123" s="56">
        <v>0</v>
      </c>
      <c r="P123" s="56">
        <v>0</v>
      </c>
      <c r="Q123" s="56">
        <v>0</v>
      </c>
      <c r="R123" s="56">
        <v>0</v>
      </c>
      <c r="S123" s="56">
        <v>0</v>
      </c>
      <c r="T123" s="56">
        <v>0</v>
      </c>
      <c r="U123" s="56">
        <v>0</v>
      </c>
      <c r="V123" s="146">
        <v>0</v>
      </c>
      <c r="W123" s="146"/>
      <c r="X123" s="139"/>
      <c r="Y123" s="146"/>
      <c r="AC123" s="139"/>
      <c r="AR123" s="56"/>
      <c r="AT123" s="8"/>
      <c r="AU123" s="56"/>
    </row>
    <row r="124" spans="1:47" x14ac:dyDescent="0.25">
      <c r="A124" s="8">
        <v>523.20000000000005</v>
      </c>
      <c r="B124" t="s">
        <v>111</v>
      </c>
      <c r="C124" s="9" t="s">
        <v>40</v>
      </c>
      <c r="D124" s="58">
        <v>2</v>
      </c>
      <c r="G124" t="s">
        <v>155</v>
      </c>
      <c r="H124" s="57">
        <v>9.9000000000000005E-2</v>
      </c>
      <c r="I124" s="57">
        <v>9.9000000000000005E-2</v>
      </c>
      <c r="J124" s="56">
        <v>0</v>
      </c>
      <c r="K124" s="56">
        <v>-120</v>
      </c>
      <c r="L124" s="56">
        <v>0</v>
      </c>
      <c r="M124" s="56">
        <v>0</v>
      </c>
      <c r="N124" s="56">
        <v>0</v>
      </c>
      <c r="O124" s="56">
        <v>0</v>
      </c>
      <c r="P124" s="56">
        <v>0</v>
      </c>
      <c r="Q124" s="56">
        <v>0</v>
      </c>
      <c r="R124" s="56">
        <v>0</v>
      </c>
      <c r="S124" s="56">
        <v>-60</v>
      </c>
      <c r="T124" s="56">
        <v>0</v>
      </c>
      <c r="U124" s="56">
        <v>0</v>
      </c>
      <c r="V124" s="146">
        <v>0</v>
      </c>
      <c r="W124" s="146"/>
      <c r="X124" s="139"/>
      <c r="Y124" s="146"/>
      <c r="AC124" s="139"/>
      <c r="AR124" s="56"/>
    </row>
    <row r="125" spans="1:47" x14ac:dyDescent="0.25">
      <c r="A125" s="8">
        <v>524.1</v>
      </c>
      <c r="B125" t="s">
        <v>170</v>
      </c>
      <c r="C125" s="9" t="s">
        <v>40</v>
      </c>
      <c r="D125" s="58">
        <v>2</v>
      </c>
      <c r="G125" t="s">
        <v>155</v>
      </c>
      <c r="H125" s="57">
        <v>6.0819999999999999</v>
      </c>
      <c r="I125" s="57">
        <v>6.0819999999999999</v>
      </c>
      <c r="J125" s="56">
        <v>-1199.21</v>
      </c>
      <c r="K125" s="56">
        <v>-1345.72</v>
      </c>
      <c r="L125" s="56">
        <v>-1275.48</v>
      </c>
      <c r="M125" s="56">
        <v>-924.74</v>
      </c>
      <c r="N125" s="56">
        <v>-927.65</v>
      </c>
      <c r="O125" s="56">
        <v>-583.80999999999995</v>
      </c>
      <c r="P125" s="56">
        <v>-563.59</v>
      </c>
      <c r="Q125" s="56">
        <v>-583.83000000000004</v>
      </c>
      <c r="R125" s="56">
        <v>-663.9</v>
      </c>
      <c r="S125" s="56">
        <v>-600.70000000000005</v>
      </c>
      <c r="T125" s="56">
        <v>-2342.33</v>
      </c>
      <c r="U125" s="56">
        <v>0</v>
      </c>
      <c r="V125" s="146">
        <v>-1608.08</v>
      </c>
      <c r="W125" s="146"/>
      <c r="X125" s="139"/>
      <c r="Y125" s="146">
        <v>-1472.55</v>
      </c>
      <c r="AA125" s="139">
        <v>-1592.03</v>
      </c>
      <c r="AC125" s="139">
        <v>-2217.92</v>
      </c>
      <c r="AE125" s="139">
        <v>-1797.25</v>
      </c>
      <c r="AG125" s="139">
        <v>-2013.46</v>
      </c>
      <c r="AH125" s="56"/>
      <c r="AI125" s="139">
        <v>-2215.2600000000002</v>
      </c>
      <c r="AJ125" s="56"/>
      <c r="AK125" s="139">
        <v>-1562.7</v>
      </c>
      <c r="AL125" s="56"/>
      <c r="AN125" s="56"/>
      <c r="AR125" s="56"/>
    </row>
    <row r="126" spans="1:47" x14ac:dyDescent="0.25">
      <c r="A126" s="8">
        <v>527.1</v>
      </c>
      <c r="B126" t="s">
        <v>112</v>
      </c>
      <c r="C126" s="9" t="s">
        <v>40</v>
      </c>
      <c r="D126" s="58">
        <v>2</v>
      </c>
      <c r="G126" t="s">
        <v>155</v>
      </c>
      <c r="H126" s="57">
        <v>6.0999999999999999E-2</v>
      </c>
      <c r="I126" s="57">
        <v>6.0999999999999999E-2</v>
      </c>
      <c r="J126" s="56">
        <v>-12.03</v>
      </c>
      <c r="K126" s="56">
        <v>-14.6</v>
      </c>
      <c r="L126" s="56">
        <v>-12.15</v>
      </c>
      <c r="M126" s="56">
        <v>-10.14</v>
      </c>
      <c r="N126" s="56">
        <v>-10.039999999999999</v>
      </c>
      <c r="O126" s="56">
        <v>-8.9600000000000009</v>
      </c>
      <c r="P126" s="56">
        <v>-8.1199999999999992</v>
      </c>
      <c r="Q126" s="56">
        <v>-5.5</v>
      </c>
      <c r="R126" s="56">
        <v>-10.24</v>
      </c>
      <c r="S126" s="56">
        <v>-9.24</v>
      </c>
      <c r="T126" s="56">
        <v>-8.73</v>
      </c>
      <c r="U126" s="56">
        <v>0</v>
      </c>
      <c r="V126" s="146">
        <v>-24.22</v>
      </c>
      <c r="W126" s="146"/>
      <c r="X126" s="139"/>
      <c r="Y126" s="146">
        <v>-21.64</v>
      </c>
      <c r="AA126" s="139">
        <v>-24.1</v>
      </c>
      <c r="AC126" s="139">
        <v>-32.97</v>
      </c>
      <c r="AE126" s="139">
        <v>-27.35</v>
      </c>
      <c r="AG126" s="139">
        <v>-50.03</v>
      </c>
      <c r="AH126" s="56"/>
      <c r="AI126" s="139">
        <v>-56.18</v>
      </c>
      <c r="AJ126" s="56"/>
      <c r="AK126" s="139">
        <v>-55.61</v>
      </c>
      <c r="AL126" s="56"/>
      <c r="AN126" s="56"/>
      <c r="AR126" s="56"/>
    </row>
    <row r="127" spans="1:47" x14ac:dyDescent="0.25">
      <c r="A127" s="8">
        <v>527.21</v>
      </c>
      <c r="B127" t="s">
        <v>171</v>
      </c>
      <c r="C127" t="s">
        <v>16</v>
      </c>
      <c r="D127" s="58">
        <v>2</v>
      </c>
      <c r="G127" t="s">
        <v>155</v>
      </c>
      <c r="H127" s="57">
        <v>0.60099999999999998</v>
      </c>
      <c r="I127" s="57">
        <v>0.60099999999999998</v>
      </c>
      <c r="J127" s="56">
        <v>-126.48</v>
      </c>
      <c r="K127" s="56">
        <v>-93.46</v>
      </c>
      <c r="L127" s="56">
        <v>-113.47</v>
      </c>
      <c r="M127" s="56">
        <v>-89.28</v>
      </c>
      <c r="N127" s="56">
        <v>-89.28</v>
      </c>
      <c r="O127" s="56">
        <v>-109.12</v>
      </c>
      <c r="P127" s="56">
        <v>-84.32</v>
      </c>
      <c r="Q127" s="56">
        <v>-86.8</v>
      </c>
      <c r="R127" s="56">
        <v>-37.200000000000003</v>
      </c>
      <c r="S127" s="56">
        <v>-96.72</v>
      </c>
      <c r="T127" s="56">
        <v>-86.8</v>
      </c>
      <c r="U127" s="56">
        <v>-74.400000000000006</v>
      </c>
      <c r="V127" s="146">
        <v>0</v>
      </c>
      <c r="W127" s="146"/>
      <c r="X127" s="139"/>
      <c r="Y127" s="146">
        <v>-44.88</v>
      </c>
      <c r="AC127" s="139"/>
      <c r="AR127" s="56"/>
    </row>
    <row r="128" spans="1:47" x14ac:dyDescent="0.25">
      <c r="A128" s="8">
        <v>527.22</v>
      </c>
      <c r="B128" t="s">
        <v>172</v>
      </c>
      <c r="C128" t="s">
        <v>16</v>
      </c>
      <c r="D128" s="58">
        <v>2</v>
      </c>
      <c r="G128" t="s">
        <v>155</v>
      </c>
      <c r="H128" s="57">
        <v>0.20700000000000002</v>
      </c>
      <c r="I128" s="57">
        <v>0.20700000000000002</v>
      </c>
      <c r="J128" s="56">
        <v>-87.72</v>
      </c>
      <c r="K128" s="56">
        <v>-61.94</v>
      </c>
      <c r="L128" s="56">
        <v>-79.73</v>
      </c>
      <c r="M128" s="56">
        <v>-72.72</v>
      </c>
      <c r="N128" s="56">
        <v>-72.72</v>
      </c>
      <c r="O128" s="56">
        <v>0</v>
      </c>
      <c r="P128" s="56">
        <v>0</v>
      </c>
      <c r="Q128" s="56">
        <v>0</v>
      </c>
      <c r="R128" s="56">
        <v>0</v>
      </c>
      <c r="S128" s="56">
        <v>0</v>
      </c>
      <c r="T128" s="56">
        <v>0</v>
      </c>
      <c r="U128" s="56">
        <v>0</v>
      </c>
      <c r="V128" s="146">
        <v>0</v>
      </c>
      <c r="W128" s="146"/>
      <c r="X128" s="139"/>
      <c r="Y128" s="146"/>
      <c r="AC128" s="139"/>
      <c r="AR128" s="56"/>
    </row>
    <row r="129" spans="1:44" x14ac:dyDescent="0.25">
      <c r="A129" s="8">
        <v>527.29999999999995</v>
      </c>
      <c r="B129" t="s">
        <v>173</v>
      </c>
      <c r="C129" s="9" t="s">
        <v>40</v>
      </c>
      <c r="D129" s="58">
        <v>2</v>
      </c>
      <c r="G129" t="s">
        <v>155</v>
      </c>
      <c r="H129" s="57">
        <v>0.19700000000000001</v>
      </c>
      <c r="I129" s="57">
        <v>0.19700000000000001</v>
      </c>
      <c r="J129" s="56">
        <v>-275.56</v>
      </c>
      <c r="K129" s="56">
        <v>-80.900000000000006</v>
      </c>
      <c r="L129" s="56">
        <v>0</v>
      </c>
      <c r="M129" s="56">
        <v>0</v>
      </c>
      <c r="N129" s="56">
        <v>0</v>
      </c>
      <c r="O129" s="56">
        <v>0</v>
      </c>
      <c r="P129" s="56">
        <v>0</v>
      </c>
      <c r="Q129" s="56">
        <v>0</v>
      </c>
      <c r="R129" s="56">
        <v>0</v>
      </c>
      <c r="S129" s="56">
        <v>0</v>
      </c>
      <c r="T129" s="56">
        <v>0</v>
      </c>
      <c r="U129" s="56">
        <v>0</v>
      </c>
      <c r="V129" s="146">
        <v>0</v>
      </c>
      <c r="W129" s="146"/>
      <c r="X129" s="139"/>
      <c r="Y129" s="146">
        <v>-57.6</v>
      </c>
      <c r="AC129" s="139"/>
      <c r="AK129" s="139">
        <v>-81.52</v>
      </c>
      <c r="AR129" s="56"/>
    </row>
    <row r="130" spans="1:44" x14ac:dyDescent="0.25">
      <c r="A130" s="8">
        <v>527.9</v>
      </c>
      <c r="B130" t="s">
        <v>249</v>
      </c>
      <c r="C130" s="9" t="s">
        <v>40</v>
      </c>
      <c r="D130" s="58">
        <v>2</v>
      </c>
      <c r="G130" t="s">
        <v>155</v>
      </c>
      <c r="H130" s="57">
        <v>0.19700000000000001</v>
      </c>
      <c r="I130" s="57">
        <v>0.19700000000000001</v>
      </c>
      <c r="J130" s="56">
        <v>-275.56</v>
      </c>
      <c r="K130" s="56">
        <v>-80.900000000000006</v>
      </c>
      <c r="L130" s="56">
        <v>0</v>
      </c>
      <c r="M130" s="56">
        <v>0</v>
      </c>
      <c r="N130" s="56">
        <v>0</v>
      </c>
      <c r="O130" s="56">
        <v>0</v>
      </c>
      <c r="P130" s="56">
        <v>0</v>
      </c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146">
        <v>0</v>
      </c>
      <c r="W130" s="146"/>
      <c r="X130" s="139"/>
      <c r="Y130" s="146"/>
      <c r="AC130" s="139"/>
      <c r="AR130" s="56"/>
    </row>
    <row r="131" spans="1:44" x14ac:dyDescent="0.25">
      <c r="A131" s="8">
        <v>531.1</v>
      </c>
      <c r="B131" t="s">
        <v>174</v>
      </c>
      <c r="C131" t="s">
        <v>214</v>
      </c>
      <c r="D131" s="58">
        <v>2</v>
      </c>
      <c r="G131" t="s">
        <v>155</v>
      </c>
      <c r="H131" s="57">
        <v>1.4E-2</v>
      </c>
      <c r="I131" s="57">
        <v>1.4E-2</v>
      </c>
      <c r="J131" s="56">
        <v>0</v>
      </c>
      <c r="K131" s="56">
        <v>0</v>
      </c>
      <c r="L131" s="56">
        <v>0</v>
      </c>
      <c r="M131" s="56">
        <v>0</v>
      </c>
      <c r="N131" s="56">
        <v>0</v>
      </c>
      <c r="O131" s="56">
        <v>0</v>
      </c>
      <c r="P131" s="56">
        <v>0</v>
      </c>
      <c r="Q131" s="56">
        <v>0</v>
      </c>
      <c r="R131" s="56">
        <v>0</v>
      </c>
      <c r="S131" s="56">
        <v>0</v>
      </c>
      <c r="T131" s="56">
        <v>0</v>
      </c>
      <c r="U131" s="56">
        <v>-24.58</v>
      </c>
      <c r="V131" s="146">
        <v>0</v>
      </c>
      <c r="W131" s="146"/>
      <c r="X131" s="139"/>
      <c r="Y131" s="146"/>
      <c r="AC131" s="139"/>
      <c r="AR131" s="56"/>
    </row>
    <row r="132" spans="1:44" x14ac:dyDescent="0.25">
      <c r="A132" s="8">
        <v>538.1</v>
      </c>
      <c r="B132" t="s">
        <v>320</v>
      </c>
      <c r="C132" t="s">
        <v>214</v>
      </c>
      <c r="D132" s="58">
        <v>2</v>
      </c>
      <c r="V132" s="146">
        <v>0</v>
      </c>
      <c r="W132" s="146"/>
      <c r="X132" s="139"/>
      <c r="Y132" s="146"/>
      <c r="AC132" s="139"/>
      <c r="AR132" s="56"/>
    </row>
    <row r="133" spans="1:44" x14ac:dyDescent="0.25">
      <c r="A133" s="8">
        <v>538.20000000000005</v>
      </c>
      <c r="B133" t="s">
        <v>175</v>
      </c>
      <c r="C133" t="s">
        <v>214</v>
      </c>
      <c r="D133" s="58">
        <v>2</v>
      </c>
      <c r="G133" t="s">
        <v>155</v>
      </c>
      <c r="H133" s="57">
        <v>1.8000000000000002E-2</v>
      </c>
      <c r="I133" s="57">
        <v>1.8000000000000002E-2</v>
      </c>
      <c r="J133" s="56">
        <v>0</v>
      </c>
      <c r="K133" s="56">
        <v>0</v>
      </c>
      <c r="L133" s="56">
        <v>0</v>
      </c>
      <c r="M133" s="56">
        <v>0</v>
      </c>
      <c r="N133" s="56">
        <v>0</v>
      </c>
      <c r="O133" s="56">
        <v>-33</v>
      </c>
      <c r="P133" s="56">
        <v>0</v>
      </c>
      <c r="Q133" s="56">
        <v>0</v>
      </c>
      <c r="R133" s="56">
        <v>0</v>
      </c>
      <c r="S133" s="56">
        <v>0</v>
      </c>
      <c r="T133" s="56">
        <v>0</v>
      </c>
      <c r="U133" s="56">
        <v>0</v>
      </c>
      <c r="V133" s="146">
        <v>0</v>
      </c>
      <c r="W133" s="146"/>
      <c r="X133" s="139"/>
      <c r="Y133" s="146"/>
      <c r="AC133" s="139"/>
      <c r="AR133" s="56"/>
    </row>
    <row r="134" spans="1:44" x14ac:dyDescent="0.25">
      <c r="A134" s="8">
        <v>545.1</v>
      </c>
      <c r="B134" t="s">
        <v>269</v>
      </c>
      <c r="C134" t="s">
        <v>214</v>
      </c>
      <c r="D134" s="58">
        <v>2</v>
      </c>
      <c r="V134" s="146">
        <v>0</v>
      </c>
      <c r="W134" s="146"/>
      <c r="X134" s="139"/>
      <c r="Y134" s="146"/>
      <c r="AC134" s="139"/>
      <c r="AR134" s="56"/>
    </row>
    <row r="135" spans="1:44" x14ac:dyDescent="0.25">
      <c r="A135" s="8">
        <v>546.1</v>
      </c>
      <c r="B135" t="s">
        <v>270</v>
      </c>
      <c r="C135" t="s">
        <v>214</v>
      </c>
      <c r="D135" s="58">
        <v>2</v>
      </c>
      <c r="V135" s="146">
        <v>0</v>
      </c>
      <c r="W135" s="146"/>
      <c r="X135" s="139"/>
      <c r="Y135" s="146">
        <v>-1359.15</v>
      </c>
      <c r="AC135" s="139"/>
      <c r="AR135" s="56"/>
    </row>
    <row r="136" spans="1:44" x14ac:dyDescent="0.25">
      <c r="A136" s="8">
        <v>546.20000000000005</v>
      </c>
      <c r="B136" t="s">
        <v>271</v>
      </c>
      <c r="C136" t="s">
        <v>214</v>
      </c>
      <c r="D136" s="58">
        <v>2</v>
      </c>
      <c r="V136" s="146">
        <v>0</v>
      </c>
      <c r="W136" s="146"/>
      <c r="X136" s="139"/>
      <c r="Y136" s="146">
        <v>-1151.1500000000001</v>
      </c>
      <c r="AA136" s="139">
        <v>-84</v>
      </c>
      <c r="AC136" s="139"/>
      <c r="AH136" s="56"/>
      <c r="AJ136" s="56"/>
      <c r="AL136" s="56"/>
      <c r="AN136" s="56"/>
      <c r="AR136" s="56"/>
    </row>
    <row r="137" spans="1:44" x14ac:dyDescent="0.25">
      <c r="A137" s="8">
        <v>546.5</v>
      </c>
      <c r="B137" t="s">
        <v>254</v>
      </c>
      <c r="C137" t="s">
        <v>214</v>
      </c>
      <c r="D137" s="58">
        <v>2</v>
      </c>
      <c r="V137" s="146">
        <v>0</v>
      </c>
      <c r="W137" s="146"/>
      <c r="X137" s="139"/>
      <c r="Y137" s="146"/>
      <c r="AC137" s="139"/>
      <c r="AR137" s="56"/>
    </row>
    <row r="138" spans="1:44" x14ac:dyDescent="0.25">
      <c r="A138" s="138">
        <v>547.1</v>
      </c>
      <c r="B138" t="s">
        <v>236</v>
      </c>
      <c r="C138" t="s">
        <v>214</v>
      </c>
      <c r="D138" s="58">
        <v>2</v>
      </c>
      <c r="V138" s="146">
        <v>0</v>
      </c>
      <c r="W138" s="146"/>
      <c r="X138" s="139"/>
      <c r="Y138" s="146"/>
      <c r="AA138" s="139">
        <v>16.8</v>
      </c>
      <c r="AC138" s="139"/>
      <c r="AR138" s="56"/>
    </row>
    <row r="139" spans="1:44" x14ac:dyDescent="0.25">
      <c r="A139" s="138">
        <v>548.1</v>
      </c>
      <c r="B139" t="s">
        <v>144</v>
      </c>
      <c r="C139" t="s">
        <v>214</v>
      </c>
      <c r="D139" s="58">
        <v>2</v>
      </c>
      <c r="G139" t="s">
        <v>155</v>
      </c>
      <c r="H139" s="57">
        <v>7.8E-2</v>
      </c>
      <c r="I139" s="57">
        <v>7.8E-2</v>
      </c>
      <c r="J139" s="56">
        <v>-40.47</v>
      </c>
      <c r="K139" s="56">
        <v>0</v>
      </c>
      <c r="L139" s="56">
        <v>0</v>
      </c>
      <c r="M139" s="56">
        <v>-101.55</v>
      </c>
      <c r="N139" s="56">
        <v>0</v>
      </c>
      <c r="O139" s="56">
        <v>0</v>
      </c>
      <c r="P139" s="56">
        <v>0</v>
      </c>
      <c r="Q139" s="56">
        <v>0</v>
      </c>
      <c r="R139" s="56">
        <v>0</v>
      </c>
      <c r="S139" s="56">
        <v>0</v>
      </c>
      <c r="T139" s="56">
        <v>0</v>
      </c>
      <c r="U139" s="56">
        <v>0</v>
      </c>
      <c r="V139" s="146">
        <v>0</v>
      </c>
      <c r="W139" s="146"/>
      <c r="X139" s="139"/>
      <c r="Y139" s="146"/>
      <c r="AC139" s="139"/>
      <c r="AR139" s="56"/>
    </row>
    <row r="140" spans="1:44" x14ac:dyDescent="0.25">
      <c r="A140" s="138">
        <v>548.20000000000005</v>
      </c>
      <c r="B140" t="s">
        <v>237</v>
      </c>
      <c r="C140" t="s">
        <v>214</v>
      </c>
      <c r="D140" s="58">
        <v>2</v>
      </c>
      <c r="V140" s="146">
        <v>0</v>
      </c>
      <c r="W140" s="146"/>
      <c r="X140" s="139"/>
      <c r="Y140" s="146"/>
      <c r="AA140" s="139">
        <v>-0.49</v>
      </c>
      <c r="AC140" s="139"/>
      <c r="AH140" s="56"/>
      <c r="AJ140" s="56"/>
      <c r="AL140" s="56"/>
      <c r="AN140" s="56"/>
      <c r="AR140" s="56"/>
    </row>
    <row r="141" spans="1:44" x14ac:dyDescent="0.25">
      <c r="A141" s="138">
        <v>548.9</v>
      </c>
      <c r="B141" t="s">
        <v>238</v>
      </c>
      <c r="C141" t="s">
        <v>214</v>
      </c>
      <c r="D141" s="58">
        <v>2</v>
      </c>
      <c r="V141" s="146">
        <v>0</v>
      </c>
      <c r="W141" s="146"/>
      <c r="X141" s="139"/>
      <c r="Y141" s="146"/>
      <c r="AC141" s="139"/>
      <c r="AR141" s="56"/>
    </row>
    <row r="142" spans="1:44" x14ac:dyDescent="0.25">
      <c r="A142" s="138">
        <v>549.1</v>
      </c>
      <c r="B142" t="s">
        <v>297</v>
      </c>
      <c r="C142" t="s">
        <v>214</v>
      </c>
      <c r="D142" s="58">
        <v>2</v>
      </c>
      <c r="V142" s="146">
        <v>0</v>
      </c>
      <c r="W142" s="146"/>
      <c r="X142" s="139"/>
      <c r="Y142" s="146"/>
      <c r="AC142" s="139"/>
      <c r="AR142" s="56"/>
    </row>
    <row r="143" spans="1:44" x14ac:dyDescent="0.25">
      <c r="A143" s="138">
        <v>551.1</v>
      </c>
      <c r="B143" t="s">
        <v>239</v>
      </c>
      <c r="C143" t="s">
        <v>214</v>
      </c>
      <c r="D143" s="58">
        <v>2</v>
      </c>
      <c r="V143" s="146">
        <v>0</v>
      </c>
      <c r="W143" s="146"/>
      <c r="X143" s="139"/>
      <c r="Y143" s="146"/>
      <c r="AC143" s="139"/>
      <c r="AR143" s="56"/>
    </row>
    <row r="144" spans="1:44" x14ac:dyDescent="0.25">
      <c r="A144" s="138">
        <v>551.11</v>
      </c>
      <c r="B144" t="s">
        <v>240</v>
      </c>
      <c r="C144" t="s">
        <v>214</v>
      </c>
      <c r="D144" s="58">
        <v>2</v>
      </c>
      <c r="V144" s="146">
        <v>0</v>
      </c>
      <c r="W144" s="146"/>
      <c r="X144" s="139"/>
      <c r="Y144" s="146"/>
      <c r="AC144" s="139"/>
      <c r="AR144" s="56"/>
    </row>
    <row r="145" spans="1:44" x14ac:dyDescent="0.25">
      <c r="A145" s="138">
        <v>568.1</v>
      </c>
      <c r="B145" t="s">
        <v>114</v>
      </c>
      <c r="C145" t="s">
        <v>214</v>
      </c>
      <c r="D145" s="58">
        <v>2</v>
      </c>
      <c r="G145" t="s">
        <v>155</v>
      </c>
      <c r="H145" s="57">
        <v>0.16800000000000001</v>
      </c>
      <c r="I145" s="57">
        <v>0.16800000000000001</v>
      </c>
      <c r="J145" s="56">
        <v>-43</v>
      </c>
      <c r="K145" s="56">
        <v>-43</v>
      </c>
      <c r="L145" s="56">
        <v>-23</v>
      </c>
      <c r="M145" s="56">
        <v>-19</v>
      </c>
      <c r="N145" s="56">
        <v>-19</v>
      </c>
      <c r="O145" s="56">
        <v>-21</v>
      </c>
      <c r="P145" s="56">
        <v>-19</v>
      </c>
      <c r="Q145" s="56">
        <v>-19</v>
      </c>
      <c r="R145" s="56">
        <v>-23</v>
      </c>
      <c r="S145" s="56">
        <v>-31</v>
      </c>
      <c r="T145" s="56">
        <v>-23</v>
      </c>
      <c r="U145" s="56">
        <v>-21</v>
      </c>
      <c r="V145" s="146">
        <v>0</v>
      </c>
      <c r="W145" s="146"/>
      <c r="X145" s="139"/>
      <c r="Y145" s="146"/>
      <c r="AC145" s="139"/>
      <c r="AR145" s="56"/>
    </row>
    <row r="146" spans="1:44" x14ac:dyDescent="0.25">
      <c r="A146" s="8">
        <v>602</v>
      </c>
      <c r="B146" t="s">
        <v>176</v>
      </c>
      <c r="C146" t="s">
        <v>225</v>
      </c>
      <c r="D146" s="58">
        <v>2</v>
      </c>
      <c r="G146" t="s">
        <v>177</v>
      </c>
      <c r="H146" s="57">
        <v>-0.05</v>
      </c>
      <c r="I146" s="57">
        <v>-0.05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56">
        <v>0</v>
      </c>
      <c r="Q146" s="56">
        <v>0</v>
      </c>
      <c r="R146" s="56">
        <v>0</v>
      </c>
      <c r="S146" s="56">
        <v>0</v>
      </c>
      <c r="T146" s="56">
        <v>-123.33</v>
      </c>
      <c r="U146" s="56">
        <v>0</v>
      </c>
      <c r="V146" s="146">
        <v>0</v>
      </c>
      <c r="W146" s="146"/>
      <c r="X146" s="139"/>
      <c r="Y146" s="146"/>
      <c r="AC146" s="139"/>
      <c r="AR146" s="56"/>
    </row>
    <row r="147" spans="1:44" x14ac:dyDescent="0.25">
      <c r="A147" s="8">
        <v>602.21</v>
      </c>
      <c r="B147" t="s">
        <v>178</v>
      </c>
      <c r="C147" t="s">
        <v>178</v>
      </c>
      <c r="D147" s="58">
        <v>2</v>
      </c>
      <c r="G147" t="s">
        <v>177</v>
      </c>
      <c r="H147" s="57">
        <v>11.544</v>
      </c>
      <c r="I147" s="57">
        <v>11.544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56">
        <v>0</v>
      </c>
      <c r="Q147" s="56">
        <v>28762.42</v>
      </c>
      <c r="R147" s="56">
        <v>0</v>
      </c>
      <c r="S147" s="56">
        <v>0</v>
      </c>
      <c r="T147" s="56">
        <v>0</v>
      </c>
      <c r="U147" s="56">
        <v>0</v>
      </c>
      <c r="V147" s="146">
        <v>28762.42</v>
      </c>
      <c r="W147" s="146"/>
      <c r="X147" s="139"/>
      <c r="Y147" s="146">
        <v>28430.79</v>
      </c>
      <c r="AA147" s="139">
        <v>26512.17</v>
      </c>
      <c r="AC147" s="139"/>
      <c r="AH147" s="56"/>
      <c r="AJ147" s="56"/>
      <c r="AL147" s="56"/>
      <c r="AN147" s="56"/>
      <c r="AR147" s="56"/>
    </row>
    <row r="148" spans="1:44" x14ac:dyDescent="0.25">
      <c r="A148" s="8">
        <v>602.22</v>
      </c>
      <c r="B148" t="s">
        <v>179</v>
      </c>
      <c r="C148" t="s">
        <v>179</v>
      </c>
      <c r="D148" s="58">
        <v>2</v>
      </c>
      <c r="G148" t="s">
        <v>177</v>
      </c>
      <c r="H148" s="57">
        <v>0.67600000000000005</v>
      </c>
      <c r="I148" s="57">
        <v>0.67600000000000005</v>
      </c>
      <c r="J148" s="56">
        <v>188</v>
      </c>
      <c r="K148" s="56">
        <v>362.7</v>
      </c>
      <c r="L148" s="56">
        <v>370.58</v>
      </c>
      <c r="M148" s="56">
        <v>0</v>
      </c>
      <c r="N148" s="56">
        <v>150</v>
      </c>
      <c r="O148" s="56">
        <v>63</v>
      </c>
      <c r="P148" s="56">
        <v>50</v>
      </c>
      <c r="Q148" s="56">
        <v>75</v>
      </c>
      <c r="R148" s="56">
        <v>25</v>
      </c>
      <c r="S148" s="56">
        <v>188</v>
      </c>
      <c r="T148" s="56">
        <v>138</v>
      </c>
      <c r="U148" s="56">
        <v>75</v>
      </c>
      <c r="V148" s="146">
        <v>1685.28</v>
      </c>
      <c r="W148" s="146"/>
      <c r="X148" s="139"/>
      <c r="Y148" s="146">
        <v>491</v>
      </c>
      <c r="AA148" s="139">
        <v>201</v>
      </c>
      <c r="AC148" s="139">
        <v>25</v>
      </c>
      <c r="AH148" s="56"/>
      <c r="AJ148" s="56"/>
      <c r="AL148" s="56"/>
      <c r="AN148" s="56"/>
      <c r="AR148" s="56"/>
    </row>
    <row r="149" spans="1:44" x14ac:dyDescent="0.25">
      <c r="A149" s="8">
        <v>602.28</v>
      </c>
      <c r="B149" t="s">
        <v>180</v>
      </c>
      <c r="C149" t="s">
        <v>180</v>
      </c>
      <c r="D149" s="58">
        <v>2</v>
      </c>
      <c r="G149" t="s">
        <v>177</v>
      </c>
      <c r="H149" s="57">
        <v>1.2090000000000001</v>
      </c>
      <c r="I149" s="57">
        <v>1.2090000000000001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56">
        <v>0</v>
      </c>
      <c r="Q149" s="56">
        <v>0</v>
      </c>
      <c r="R149" s="56">
        <v>0</v>
      </c>
      <c r="S149" s="56">
        <v>3012.34</v>
      </c>
      <c r="T149" s="56">
        <v>0</v>
      </c>
      <c r="U149" s="56">
        <v>0</v>
      </c>
      <c r="V149" s="146">
        <v>3012.34</v>
      </c>
      <c r="W149" s="146"/>
      <c r="X149" s="139"/>
      <c r="Y149" s="146">
        <v>1387.5</v>
      </c>
      <c r="AA149" s="139">
        <v>3012.34</v>
      </c>
      <c r="AC149" s="139">
        <v>1624.84</v>
      </c>
      <c r="AE149" s="139">
        <v>1624.84</v>
      </c>
      <c r="AG149" s="139">
        <v>1624.84</v>
      </c>
      <c r="AH149" s="56"/>
      <c r="AI149" s="139">
        <v>1624.84</v>
      </c>
      <c r="AJ149" s="56"/>
      <c r="AK149" s="139">
        <v>1624.84</v>
      </c>
      <c r="AL149" s="56"/>
      <c r="AN149" s="56"/>
      <c r="AR149" s="56"/>
    </row>
    <row r="150" spans="1:44" x14ac:dyDescent="0.25">
      <c r="A150" s="8">
        <v>602.29999999999995</v>
      </c>
      <c r="B150" t="s">
        <v>115</v>
      </c>
      <c r="C150" t="s">
        <v>225</v>
      </c>
      <c r="D150" s="58">
        <v>2</v>
      </c>
      <c r="G150" t="s">
        <v>177</v>
      </c>
      <c r="H150" s="57">
        <v>84.805999999999997</v>
      </c>
      <c r="I150" s="57">
        <v>84.805999999999997</v>
      </c>
      <c r="J150" s="56">
        <v>8749.32</v>
      </c>
      <c r="K150" s="56">
        <v>3181.01</v>
      </c>
      <c r="L150" s="56">
        <v>1025.07</v>
      </c>
      <c r="M150" s="56">
        <v>4086.74</v>
      </c>
      <c r="N150" s="56">
        <v>27608.43</v>
      </c>
      <c r="O150" s="56">
        <v>17941.68</v>
      </c>
      <c r="P150" s="56">
        <v>0</v>
      </c>
      <c r="Q150" s="56">
        <v>0</v>
      </c>
      <c r="R150" s="56">
        <v>9209.35</v>
      </c>
      <c r="S150" s="56">
        <v>15861.06</v>
      </c>
      <c r="T150" s="56">
        <v>92900.43</v>
      </c>
      <c r="U150" s="56">
        <v>30727.14</v>
      </c>
      <c r="V150" s="146">
        <v>0</v>
      </c>
      <c r="W150" s="146"/>
      <c r="X150" s="139"/>
      <c r="Y150" s="146">
        <v>-55</v>
      </c>
      <c r="AC150" s="139"/>
      <c r="AR150" s="56"/>
    </row>
    <row r="151" spans="1:44" x14ac:dyDescent="0.25">
      <c r="A151" s="8">
        <v>602.4</v>
      </c>
      <c r="B151" t="s">
        <v>181</v>
      </c>
      <c r="C151" t="s">
        <v>225</v>
      </c>
      <c r="D151" s="58">
        <v>2</v>
      </c>
      <c r="G151" t="s">
        <v>177</v>
      </c>
      <c r="H151" s="57">
        <v>0.251</v>
      </c>
      <c r="I151" s="57">
        <v>0.251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56">
        <v>0</v>
      </c>
      <c r="Q151" s="56">
        <v>0</v>
      </c>
      <c r="R151" s="56">
        <v>0</v>
      </c>
      <c r="S151" s="56">
        <v>0</v>
      </c>
      <c r="T151" s="56">
        <v>0</v>
      </c>
      <c r="U151" s="56">
        <v>624.75</v>
      </c>
      <c r="V151" s="146">
        <v>0</v>
      </c>
      <c r="W151" s="146"/>
      <c r="X151" s="139"/>
      <c r="Y151" s="146"/>
      <c r="AC151" s="139"/>
      <c r="AR151" s="56"/>
    </row>
    <row r="152" spans="1:44" x14ac:dyDescent="0.25">
      <c r="A152" s="8">
        <v>602.6</v>
      </c>
      <c r="B152" t="s">
        <v>298</v>
      </c>
      <c r="C152" t="s">
        <v>225</v>
      </c>
      <c r="D152" s="58">
        <v>2</v>
      </c>
      <c r="V152" s="146">
        <v>0</v>
      </c>
      <c r="W152" s="146"/>
      <c r="X152" s="139"/>
      <c r="Y152" s="146"/>
      <c r="AC152" s="139"/>
      <c r="AR152" s="56"/>
    </row>
    <row r="153" spans="1:44" x14ac:dyDescent="0.25">
      <c r="A153" s="8">
        <v>602.79999999999995</v>
      </c>
      <c r="B153" t="s">
        <v>279</v>
      </c>
      <c r="C153" t="s">
        <v>225</v>
      </c>
      <c r="D153" s="58">
        <v>2</v>
      </c>
      <c r="V153" s="146">
        <v>0</v>
      </c>
      <c r="W153" s="146"/>
      <c r="X153" s="139"/>
      <c r="Y153" s="146"/>
      <c r="AC153" s="139"/>
      <c r="AR153" s="56"/>
    </row>
    <row r="154" spans="1:44" x14ac:dyDescent="0.25">
      <c r="A154" s="8">
        <v>602.9</v>
      </c>
      <c r="B154" t="s">
        <v>250</v>
      </c>
      <c r="C154" t="s">
        <v>225</v>
      </c>
      <c r="D154" s="58">
        <v>2</v>
      </c>
      <c r="V154" s="146">
        <v>0</v>
      </c>
      <c r="W154" s="146"/>
      <c r="X154" s="139"/>
      <c r="Y154" s="146">
        <v>-872.1</v>
      </c>
      <c r="AC154" s="139"/>
      <c r="AR154" s="56"/>
    </row>
    <row r="155" spans="1:44" x14ac:dyDescent="0.25">
      <c r="A155" s="8">
        <v>644.1</v>
      </c>
      <c r="B155" t="s">
        <v>313</v>
      </c>
      <c r="C155" t="s">
        <v>225</v>
      </c>
      <c r="D155" s="58">
        <v>2</v>
      </c>
      <c r="V155" s="146">
        <v>0</v>
      </c>
      <c r="W155" s="146"/>
      <c r="X155" s="139"/>
      <c r="Y155" s="146"/>
      <c r="AC155" s="139"/>
      <c r="AR155" s="56"/>
    </row>
    <row r="156" spans="1:44" x14ac:dyDescent="0.25">
      <c r="A156" s="8">
        <v>646.1</v>
      </c>
      <c r="B156" t="s">
        <v>312</v>
      </c>
      <c r="C156" t="s">
        <v>225</v>
      </c>
      <c r="D156" s="58">
        <v>2</v>
      </c>
      <c r="V156" s="146">
        <v>0</v>
      </c>
      <c r="W156" s="146"/>
      <c r="X156" s="139"/>
      <c r="Y156" s="146"/>
      <c r="AC156" s="139"/>
      <c r="AR156" s="56"/>
    </row>
    <row r="157" spans="1:44" x14ac:dyDescent="0.25">
      <c r="A157" s="8">
        <v>648.1</v>
      </c>
      <c r="B157" t="s">
        <v>182</v>
      </c>
      <c r="C157" t="s">
        <v>225</v>
      </c>
      <c r="D157" s="58">
        <v>2</v>
      </c>
      <c r="G157" t="s">
        <v>177</v>
      </c>
      <c r="H157" s="57">
        <v>1.405</v>
      </c>
      <c r="I157" s="57">
        <v>1.405</v>
      </c>
      <c r="J157" s="56">
        <v>0</v>
      </c>
      <c r="K157" s="56">
        <v>0</v>
      </c>
      <c r="L157" s="56">
        <v>0</v>
      </c>
      <c r="M157" s="56">
        <v>0</v>
      </c>
      <c r="N157" s="56">
        <v>0</v>
      </c>
      <c r="O157" s="56">
        <v>0</v>
      </c>
      <c r="P157" s="56">
        <v>0</v>
      </c>
      <c r="Q157" s="56">
        <v>0</v>
      </c>
      <c r="R157" s="56">
        <v>3500</v>
      </c>
      <c r="S157" s="56">
        <v>0</v>
      </c>
      <c r="T157" s="56">
        <v>0</v>
      </c>
      <c r="U157" s="56">
        <v>0</v>
      </c>
      <c r="V157" s="146">
        <v>0</v>
      </c>
      <c r="W157" s="146"/>
      <c r="X157" s="139"/>
      <c r="Y157" s="146"/>
      <c r="AC157" s="139"/>
      <c r="AR157" s="56"/>
    </row>
    <row r="158" spans="1:44" ht="14.25" customHeight="1" x14ac:dyDescent="0.25">
      <c r="A158" s="8">
        <v>648.20000000000005</v>
      </c>
      <c r="B158" t="s">
        <v>116</v>
      </c>
      <c r="C158" t="s">
        <v>225</v>
      </c>
      <c r="D158" s="58">
        <v>2</v>
      </c>
      <c r="G158" t="s">
        <v>177</v>
      </c>
      <c r="H158" s="57">
        <v>1E-3</v>
      </c>
      <c r="I158" s="57">
        <v>1E-3</v>
      </c>
      <c r="J158" s="56">
        <v>-0.05</v>
      </c>
      <c r="K158" s="56">
        <v>0</v>
      </c>
      <c r="L158" s="56">
        <v>0</v>
      </c>
      <c r="M158" s="56">
        <v>3.01</v>
      </c>
      <c r="N158" s="56">
        <v>-0.01</v>
      </c>
      <c r="O158" s="56">
        <v>0</v>
      </c>
      <c r="P158" s="56">
        <v>0</v>
      </c>
      <c r="Q158" s="56">
        <v>0</v>
      </c>
      <c r="R158" s="56">
        <v>0</v>
      </c>
      <c r="S158" s="56">
        <v>0</v>
      </c>
      <c r="T158" s="56">
        <v>-0.03</v>
      </c>
      <c r="U158" s="56">
        <v>0</v>
      </c>
      <c r="V158" s="146">
        <v>0</v>
      </c>
      <c r="W158" s="146"/>
      <c r="X158" s="139"/>
      <c r="Y158" s="146"/>
      <c r="AC158" s="139"/>
      <c r="AR158" s="56"/>
    </row>
    <row r="159" spans="1:44" x14ac:dyDescent="0.25">
      <c r="A159" s="8">
        <v>648.29999999999995</v>
      </c>
      <c r="B159" t="s">
        <v>183</v>
      </c>
      <c r="C159" t="s">
        <v>225</v>
      </c>
      <c r="D159" s="58">
        <v>2</v>
      </c>
      <c r="G159" t="s">
        <v>177</v>
      </c>
      <c r="H159" s="57">
        <v>0.158</v>
      </c>
      <c r="I159" s="57">
        <v>0.158</v>
      </c>
      <c r="J159" s="56">
        <v>0</v>
      </c>
      <c r="K159" s="56">
        <v>0</v>
      </c>
      <c r="L159" s="56">
        <v>0</v>
      </c>
      <c r="M159" s="56">
        <v>0</v>
      </c>
      <c r="N159" s="56">
        <v>0</v>
      </c>
      <c r="O159" s="56">
        <v>0</v>
      </c>
      <c r="P159" s="56">
        <v>0</v>
      </c>
      <c r="Q159" s="56">
        <v>0</v>
      </c>
      <c r="R159" s="56">
        <v>0</v>
      </c>
      <c r="S159" s="56">
        <v>144</v>
      </c>
      <c r="T159" s="56">
        <v>249</v>
      </c>
      <c r="U159" s="56">
        <v>0</v>
      </c>
      <c r="V159" s="146">
        <v>0</v>
      </c>
      <c r="W159" s="146"/>
      <c r="X159" s="139"/>
      <c r="Y159" s="146"/>
      <c r="AC159" s="139"/>
      <c r="AR159" s="56"/>
    </row>
    <row r="160" spans="1:44" x14ac:dyDescent="0.25">
      <c r="A160" s="8">
        <v>648.4</v>
      </c>
      <c r="B160" t="s">
        <v>295</v>
      </c>
      <c r="C160" t="s">
        <v>225</v>
      </c>
      <c r="D160" s="58">
        <v>2</v>
      </c>
      <c r="V160" s="146">
        <v>0</v>
      </c>
      <c r="W160" s="146"/>
      <c r="X160" s="139"/>
      <c r="Y160" s="146"/>
      <c r="AC160" s="139"/>
      <c r="AR160" s="56"/>
    </row>
    <row r="161" spans="1:45" x14ac:dyDescent="0.25">
      <c r="A161" s="8">
        <v>648.79999999999995</v>
      </c>
      <c r="B161" t="s">
        <v>290</v>
      </c>
      <c r="C161" t="s">
        <v>225</v>
      </c>
      <c r="D161" s="58">
        <v>2</v>
      </c>
      <c r="V161" s="146">
        <v>0</v>
      </c>
      <c r="W161" s="146"/>
      <c r="X161" s="139"/>
      <c r="Y161" s="146"/>
      <c r="AC161" s="139"/>
      <c r="AR161" s="56"/>
      <c r="AS161" s="56"/>
    </row>
    <row r="162" spans="1:45" x14ac:dyDescent="0.25">
      <c r="A162" s="8">
        <v>648.80999999999995</v>
      </c>
      <c r="B162" t="s">
        <v>291</v>
      </c>
      <c r="C162" t="s">
        <v>225</v>
      </c>
      <c r="D162" s="58">
        <v>2</v>
      </c>
      <c r="V162" s="146">
        <v>0</v>
      </c>
      <c r="W162" s="146"/>
      <c r="X162" s="139"/>
      <c r="Y162" s="146"/>
      <c r="AC162" s="139"/>
      <c r="AR162" s="56"/>
      <c r="AS162" s="56"/>
    </row>
    <row r="163" spans="1:45" x14ac:dyDescent="0.25">
      <c r="A163" s="8">
        <v>648.82000000000005</v>
      </c>
      <c r="B163" t="s">
        <v>307</v>
      </c>
      <c r="C163" t="s">
        <v>225</v>
      </c>
      <c r="D163" s="58">
        <v>2</v>
      </c>
      <c r="V163" s="146">
        <v>0</v>
      </c>
      <c r="W163" s="146"/>
      <c r="X163" s="139"/>
      <c r="Y163" s="146"/>
      <c r="AC163" s="139"/>
      <c r="AR163" s="56"/>
      <c r="AS163" s="56"/>
    </row>
    <row r="164" spans="1:45" x14ac:dyDescent="0.25">
      <c r="A164" s="138">
        <v>648.9</v>
      </c>
      <c r="B164" t="s">
        <v>241</v>
      </c>
      <c r="C164" t="s">
        <v>225</v>
      </c>
      <c r="D164" s="58">
        <v>2</v>
      </c>
      <c r="V164" s="146">
        <v>0</v>
      </c>
      <c r="W164" s="146"/>
      <c r="X164" s="139"/>
      <c r="Y164" s="146"/>
      <c r="AC164" s="139"/>
      <c r="AR164" s="56"/>
    </row>
    <row r="165" spans="1:45" x14ac:dyDescent="0.25">
      <c r="A165" s="138">
        <v>662.1</v>
      </c>
      <c r="B165" t="s">
        <v>314</v>
      </c>
      <c r="C165" t="s">
        <v>225</v>
      </c>
      <c r="D165" s="58">
        <v>2</v>
      </c>
      <c r="V165" s="146">
        <v>0</v>
      </c>
      <c r="W165" s="146"/>
      <c r="X165" s="139"/>
      <c r="Y165" s="146"/>
      <c r="AC165" s="139"/>
      <c r="AR165" s="56"/>
    </row>
    <row r="166" spans="1:45" x14ac:dyDescent="0.25">
      <c r="A166" s="8">
        <v>501.04</v>
      </c>
      <c r="B166" t="s">
        <v>154</v>
      </c>
      <c r="C166" t="s">
        <v>212</v>
      </c>
      <c r="D166" s="58">
        <v>3</v>
      </c>
      <c r="G166" t="s">
        <v>155</v>
      </c>
      <c r="H166" s="57">
        <v>0.16500000000000001</v>
      </c>
      <c r="I166" s="57">
        <v>0.16500000000000001</v>
      </c>
      <c r="J166" s="56">
        <v>-140.05000000000001</v>
      </c>
      <c r="K166" s="56">
        <v>0</v>
      </c>
      <c r="L166" s="56">
        <v>0</v>
      </c>
      <c r="M166" s="56">
        <v>-38.24</v>
      </c>
      <c r="N166" s="56">
        <v>0</v>
      </c>
      <c r="O166" s="56">
        <v>0</v>
      </c>
      <c r="P166" s="56">
        <v>0</v>
      </c>
      <c r="Q166" s="56">
        <v>0</v>
      </c>
      <c r="R166" s="56">
        <v>0</v>
      </c>
      <c r="S166" s="56">
        <v>0</v>
      </c>
      <c r="T166" s="56">
        <v>-121</v>
      </c>
      <c r="U166" s="56">
        <v>0</v>
      </c>
      <c r="V166" s="146">
        <v>0</v>
      </c>
      <c r="W166" s="146"/>
      <c r="X166" s="139"/>
      <c r="Y166" s="146"/>
      <c r="AC166" s="139"/>
      <c r="AR166" s="56"/>
    </row>
    <row r="167" spans="1:45" x14ac:dyDescent="0.25">
      <c r="A167" s="8">
        <v>501.1</v>
      </c>
      <c r="B167" t="s">
        <v>156</v>
      </c>
      <c r="C167" t="s">
        <v>212</v>
      </c>
      <c r="D167" s="58">
        <v>3</v>
      </c>
      <c r="G167" t="s">
        <v>155</v>
      </c>
      <c r="H167" s="57">
        <v>0.27</v>
      </c>
      <c r="I167" s="57">
        <v>0.27</v>
      </c>
      <c r="J167" s="56">
        <v>0</v>
      </c>
      <c r="K167" s="56">
        <v>0</v>
      </c>
      <c r="L167" s="56">
        <v>0</v>
      </c>
      <c r="M167" s="56">
        <v>0</v>
      </c>
      <c r="N167" s="56">
        <v>0</v>
      </c>
      <c r="O167" s="56">
        <v>-91.02</v>
      </c>
      <c r="P167" s="56">
        <v>0</v>
      </c>
      <c r="Q167" s="56">
        <v>0</v>
      </c>
      <c r="R167" s="56">
        <v>0</v>
      </c>
      <c r="S167" s="56">
        <v>0</v>
      </c>
      <c r="T167" s="56">
        <v>-396.92</v>
      </c>
      <c r="U167" s="56">
        <v>0</v>
      </c>
      <c r="V167" s="146">
        <v>-1306.94</v>
      </c>
      <c r="W167" s="146"/>
      <c r="X167" s="139"/>
      <c r="Y167" s="146">
        <v>-498</v>
      </c>
      <c r="AA167" s="139">
        <v>-774.05</v>
      </c>
      <c r="AC167" s="139"/>
      <c r="AG167" s="139">
        <v>-27.72</v>
      </c>
      <c r="AH167" s="56"/>
      <c r="AJ167" s="56"/>
      <c r="AL167" s="56"/>
      <c r="AN167" s="56"/>
      <c r="AR167" s="56"/>
    </row>
    <row r="168" spans="1:45" x14ac:dyDescent="0.25">
      <c r="A168" s="8">
        <v>501.11</v>
      </c>
      <c r="B168" t="s">
        <v>157</v>
      </c>
      <c r="C168" t="s">
        <v>212</v>
      </c>
      <c r="D168" s="58">
        <v>3</v>
      </c>
      <c r="G168" t="s">
        <v>155</v>
      </c>
      <c r="H168" s="57">
        <v>1.3069999999999999</v>
      </c>
      <c r="I168" s="57">
        <v>1.3069999999999999</v>
      </c>
      <c r="J168" s="56">
        <v>-72</v>
      </c>
      <c r="K168" s="56">
        <v>0</v>
      </c>
      <c r="L168" s="56">
        <v>0</v>
      </c>
      <c r="M168" s="56">
        <v>0</v>
      </c>
      <c r="N168" s="56">
        <v>0</v>
      </c>
      <c r="O168" s="56">
        <v>-22</v>
      </c>
      <c r="P168" s="56">
        <v>-539.16999999999996</v>
      </c>
      <c r="Q168" s="56">
        <v>-1346</v>
      </c>
      <c r="R168" s="56">
        <v>0</v>
      </c>
      <c r="S168" s="56">
        <v>-0.83</v>
      </c>
      <c r="T168" s="56">
        <v>0</v>
      </c>
      <c r="U168" s="56">
        <v>-387</v>
      </c>
      <c r="V168" s="146">
        <v>-1885.17</v>
      </c>
      <c r="W168" s="146"/>
      <c r="X168" s="139"/>
      <c r="Y168" s="146">
        <v>-1084.1600000000001</v>
      </c>
      <c r="AA168" s="139">
        <v>-37.479999999999997</v>
      </c>
      <c r="AC168" s="139"/>
      <c r="AH168" s="56"/>
      <c r="AI168" s="139">
        <v>-165</v>
      </c>
      <c r="AJ168" s="56"/>
      <c r="AL168" s="56"/>
      <c r="AN168" s="56"/>
      <c r="AR168" s="56"/>
    </row>
    <row r="169" spans="1:45" x14ac:dyDescent="0.25">
      <c r="A169" s="8">
        <v>501.15</v>
      </c>
      <c r="B169" t="s">
        <v>158</v>
      </c>
      <c r="C169" t="s">
        <v>212</v>
      </c>
      <c r="D169" s="58">
        <v>3</v>
      </c>
      <c r="G169" t="s">
        <v>155</v>
      </c>
      <c r="H169" s="57">
        <v>0.20899999999999999</v>
      </c>
      <c r="I169" s="57">
        <v>0.20899999999999999</v>
      </c>
      <c r="J169" s="56">
        <v>0</v>
      </c>
      <c r="K169" s="56">
        <v>0</v>
      </c>
      <c r="L169" s="56">
        <v>-152.33000000000001</v>
      </c>
      <c r="M169" s="56">
        <v>0</v>
      </c>
      <c r="N169" s="56">
        <v>0</v>
      </c>
      <c r="O169" s="56">
        <v>-96.48</v>
      </c>
      <c r="P169" s="56">
        <v>0</v>
      </c>
      <c r="Q169" s="56">
        <v>0</v>
      </c>
      <c r="R169" s="56">
        <v>-15.83</v>
      </c>
      <c r="S169" s="56">
        <v>0</v>
      </c>
      <c r="T169" s="56">
        <v>-107.35</v>
      </c>
      <c r="U169" s="56">
        <v>-5.95</v>
      </c>
      <c r="V169" s="146">
        <v>-83.95</v>
      </c>
      <c r="W169" s="146"/>
      <c r="X169" s="139"/>
      <c r="Y169" s="146">
        <v>-555.25</v>
      </c>
      <c r="AA169" s="139">
        <v>-775.11</v>
      </c>
      <c r="AC169" s="139">
        <v>-20.57</v>
      </c>
      <c r="AE169" s="139">
        <v>-19</v>
      </c>
      <c r="AG169" s="139">
        <v>-31.81</v>
      </c>
      <c r="AH169" s="139"/>
      <c r="AJ169" s="139"/>
      <c r="AK169" s="139">
        <v>-311.62</v>
      </c>
      <c r="AL169" s="139"/>
      <c r="AN169" s="139"/>
      <c r="AR169" s="56"/>
    </row>
    <row r="170" spans="1:45" x14ac:dyDescent="0.25">
      <c r="A170" s="8">
        <v>501.21</v>
      </c>
      <c r="B170" t="s">
        <v>134</v>
      </c>
      <c r="C170" t="s">
        <v>212</v>
      </c>
      <c r="D170" s="58">
        <v>3</v>
      </c>
      <c r="G170" t="s">
        <v>155</v>
      </c>
      <c r="H170" s="57">
        <v>8.1000000000000003E-2</v>
      </c>
      <c r="I170" s="57">
        <v>8.1000000000000003E-2</v>
      </c>
      <c r="J170" s="56">
        <v>0</v>
      </c>
      <c r="K170" s="56">
        <v>0</v>
      </c>
      <c r="L170" s="56">
        <v>0</v>
      </c>
      <c r="M170" s="56">
        <v>0</v>
      </c>
      <c r="N170" s="56">
        <v>0</v>
      </c>
      <c r="O170" s="56">
        <v>-70.459999999999994</v>
      </c>
      <c r="P170" s="56">
        <v>0</v>
      </c>
      <c r="Q170" s="56">
        <v>0</v>
      </c>
      <c r="R170" s="56">
        <v>0</v>
      </c>
      <c r="S170" s="56">
        <v>0</v>
      </c>
      <c r="T170" s="56">
        <v>-62.33</v>
      </c>
      <c r="U170" s="56">
        <v>-14.17</v>
      </c>
      <c r="V170" s="146">
        <v>-146.96</v>
      </c>
      <c r="W170" s="146"/>
      <c r="X170" s="139"/>
      <c r="Y170" s="146">
        <v>-108.33</v>
      </c>
      <c r="AA170" s="139">
        <v>-1114.5999999999999</v>
      </c>
      <c r="AC170" s="139">
        <v>-110</v>
      </c>
      <c r="AG170" s="139">
        <v>-376.8</v>
      </c>
      <c r="AH170" s="139"/>
      <c r="AI170" s="139">
        <v>-653.75</v>
      </c>
      <c r="AJ170" s="139"/>
      <c r="AL170" s="139"/>
      <c r="AN170" s="139"/>
      <c r="AR170" s="56"/>
    </row>
    <row r="171" spans="1:45" x14ac:dyDescent="0.25">
      <c r="A171" s="8">
        <v>501.6</v>
      </c>
      <c r="B171" t="s">
        <v>159</v>
      </c>
      <c r="C171" t="s">
        <v>212</v>
      </c>
      <c r="D171" s="58">
        <v>3</v>
      </c>
      <c r="G171" t="s">
        <v>155</v>
      </c>
      <c r="H171" s="57">
        <v>0.43099999999999999</v>
      </c>
      <c r="I171" s="57">
        <v>0.43099999999999999</v>
      </c>
      <c r="J171" s="56">
        <v>-25.74</v>
      </c>
      <c r="K171" s="56">
        <v>-108.74</v>
      </c>
      <c r="L171" s="56">
        <v>-12.48</v>
      </c>
      <c r="M171" s="56">
        <v>-95.74</v>
      </c>
      <c r="N171" s="56">
        <v>-5.43</v>
      </c>
      <c r="O171" s="56">
        <v>0</v>
      </c>
      <c r="P171" s="56">
        <v>0</v>
      </c>
      <c r="Q171" s="56">
        <v>0</v>
      </c>
      <c r="R171" s="56">
        <v>0</v>
      </c>
      <c r="S171" s="56">
        <v>-277.44</v>
      </c>
      <c r="T171" s="56">
        <v>-208.84</v>
      </c>
      <c r="U171" s="56">
        <v>-45.69</v>
      </c>
      <c r="V171" s="146">
        <v>-783.41</v>
      </c>
      <c r="W171" s="146"/>
      <c r="X171" s="139"/>
      <c r="Y171" s="146">
        <v>-1473.22</v>
      </c>
      <c r="AA171" s="139">
        <v>-619.22</v>
      </c>
      <c r="AC171" s="139">
        <v>-243.41</v>
      </c>
      <c r="AE171" s="139">
        <v>-311.52999999999997</v>
      </c>
      <c r="AG171" s="139">
        <v>-914.9</v>
      </c>
      <c r="AH171" s="139"/>
      <c r="AI171" s="139">
        <v>-1318.13</v>
      </c>
      <c r="AJ171" s="139"/>
      <c r="AK171" s="139">
        <v>-2178.87</v>
      </c>
      <c r="AL171" s="139"/>
      <c r="AN171" s="139"/>
      <c r="AR171" s="56"/>
    </row>
    <row r="172" spans="1:45" x14ac:dyDescent="0.25">
      <c r="A172" s="8">
        <v>504.1</v>
      </c>
      <c r="B172" t="s">
        <v>251</v>
      </c>
      <c r="C172" t="s">
        <v>251</v>
      </c>
      <c r="D172" s="58">
        <v>3</v>
      </c>
      <c r="V172" s="146">
        <v>0</v>
      </c>
      <c r="W172" s="146"/>
      <c r="X172" s="139"/>
      <c r="Y172" s="146">
        <v>-5210.1499999999996</v>
      </c>
      <c r="AA172" s="139">
        <v>-10694.37</v>
      </c>
      <c r="AC172" s="139">
        <v>-5928.08</v>
      </c>
      <c r="AE172" s="139">
        <v>-4390.08</v>
      </c>
      <c r="AG172" s="139">
        <v>-2241.61</v>
      </c>
      <c r="AH172" s="139"/>
      <c r="AI172" s="139">
        <v>-1525.5</v>
      </c>
      <c r="AJ172" s="139"/>
      <c r="AK172" s="139">
        <v>-755.63</v>
      </c>
      <c r="AL172" s="139"/>
      <c r="AN172" s="139"/>
      <c r="AR172" s="56"/>
    </row>
    <row r="173" spans="1:45" x14ac:dyDescent="0.25">
      <c r="A173" s="8">
        <v>511.1</v>
      </c>
      <c r="B173" t="s">
        <v>160</v>
      </c>
      <c r="C173" t="s">
        <v>214</v>
      </c>
      <c r="D173" s="58">
        <v>3</v>
      </c>
      <c r="G173" t="s">
        <v>155</v>
      </c>
      <c r="H173" s="57">
        <v>0.42599999999999999</v>
      </c>
      <c r="I173" s="57">
        <v>0.42599999999999999</v>
      </c>
      <c r="J173" s="56">
        <v>0</v>
      </c>
      <c r="K173" s="56">
        <v>0</v>
      </c>
      <c r="L173" s="56">
        <v>0</v>
      </c>
      <c r="M173" s="56">
        <v>-163.33000000000001</v>
      </c>
      <c r="N173" s="56">
        <v>-566.14</v>
      </c>
      <c r="O173" s="56">
        <v>-41</v>
      </c>
      <c r="P173" s="56">
        <v>0</v>
      </c>
      <c r="Q173" s="56">
        <v>0</v>
      </c>
      <c r="R173" s="56">
        <v>0</v>
      </c>
      <c r="S173" s="56">
        <v>0</v>
      </c>
      <c r="T173" s="56">
        <v>0</v>
      </c>
      <c r="U173" s="56">
        <v>0</v>
      </c>
      <c r="V173" s="146">
        <v>0</v>
      </c>
      <c r="W173" s="146"/>
      <c r="X173" s="139"/>
      <c r="Y173" s="146"/>
      <c r="AC173" s="139"/>
      <c r="AH173" s="139"/>
      <c r="AJ173" s="139"/>
      <c r="AL173" s="139"/>
      <c r="AN173" s="139"/>
      <c r="AR173" s="56"/>
    </row>
    <row r="174" spans="1:45" x14ac:dyDescent="0.25">
      <c r="A174" s="8">
        <v>512.1</v>
      </c>
      <c r="B174" t="s">
        <v>119</v>
      </c>
      <c r="C174" t="s">
        <v>198</v>
      </c>
      <c r="D174" s="58">
        <v>3</v>
      </c>
      <c r="G174" t="s">
        <v>155</v>
      </c>
      <c r="H174" s="57">
        <v>0.17799999999999999</v>
      </c>
      <c r="I174" s="57">
        <v>0.17799999999999999</v>
      </c>
      <c r="J174" s="56">
        <v>-43.81</v>
      </c>
      <c r="K174" s="56">
        <v>-135.30000000000001</v>
      </c>
      <c r="L174" s="56">
        <v>0</v>
      </c>
      <c r="M174" s="56">
        <v>0</v>
      </c>
      <c r="N174" s="56">
        <v>-72.08</v>
      </c>
      <c r="O174" s="56">
        <v>0</v>
      </c>
      <c r="P174" s="56">
        <v>0</v>
      </c>
      <c r="Q174" s="56">
        <v>0</v>
      </c>
      <c r="R174" s="56">
        <v>0</v>
      </c>
      <c r="S174" s="56">
        <v>-71.599999999999994</v>
      </c>
      <c r="T174" s="56">
        <v>0</v>
      </c>
      <c r="U174" s="56">
        <v>0</v>
      </c>
      <c r="V174" s="146">
        <v>-92.41</v>
      </c>
      <c r="W174" s="146"/>
      <c r="X174" s="139"/>
      <c r="Y174" s="146"/>
      <c r="AA174" s="139">
        <v>-201.92</v>
      </c>
      <c r="AC174" s="139"/>
      <c r="AE174" s="139">
        <v>-119.81</v>
      </c>
      <c r="AG174" s="139">
        <v>-798.62</v>
      </c>
      <c r="AH174" s="139"/>
      <c r="AI174" s="139">
        <v>-646.04</v>
      </c>
      <c r="AJ174" s="139"/>
      <c r="AK174" s="139">
        <v>-385.24</v>
      </c>
      <c r="AL174" s="139"/>
      <c r="AN174" s="139"/>
      <c r="AR174" s="56"/>
    </row>
    <row r="175" spans="1:45" x14ac:dyDescent="0.25">
      <c r="A175" s="8">
        <v>512.20000000000005</v>
      </c>
      <c r="B175" t="s">
        <v>278</v>
      </c>
      <c r="C175" t="s">
        <v>198</v>
      </c>
      <c r="D175" s="58">
        <v>3</v>
      </c>
      <c r="V175" s="146">
        <v>0</v>
      </c>
      <c r="W175" s="146"/>
      <c r="X175" s="139"/>
      <c r="Y175" s="146"/>
      <c r="AA175" s="139">
        <v>-4.8</v>
      </c>
      <c r="AC175" s="139"/>
      <c r="AH175" s="139"/>
      <c r="AI175" s="139">
        <v>-14.6</v>
      </c>
      <c r="AJ175" s="139"/>
      <c r="AK175" s="139">
        <v>-7.8</v>
      </c>
      <c r="AL175" s="139"/>
      <c r="AN175" s="139"/>
      <c r="AR175" s="56"/>
    </row>
    <row r="176" spans="1:45" x14ac:dyDescent="0.25">
      <c r="A176" s="8">
        <v>512.29999999999995</v>
      </c>
      <c r="B176" t="s">
        <v>288</v>
      </c>
      <c r="C176" t="s">
        <v>198</v>
      </c>
      <c r="D176" s="58">
        <v>3</v>
      </c>
      <c r="V176" s="146">
        <v>0</v>
      </c>
      <c r="W176" s="146"/>
      <c r="X176" s="139"/>
      <c r="Y176" s="146"/>
      <c r="AA176" s="139">
        <v>-102.7</v>
      </c>
      <c r="AC176" s="139"/>
      <c r="AH176" s="139"/>
      <c r="AJ176" s="139"/>
      <c r="AL176" s="139"/>
      <c r="AN176" s="139"/>
      <c r="AR176" s="56"/>
    </row>
    <row r="177" spans="1:48" x14ac:dyDescent="0.25">
      <c r="A177" s="8">
        <v>512.4</v>
      </c>
      <c r="B177" t="s">
        <v>161</v>
      </c>
      <c r="C177" t="s">
        <v>198</v>
      </c>
      <c r="D177" s="58">
        <v>3</v>
      </c>
      <c r="G177" t="s">
        <v>155</v>
      </c>
      <c r="H177" s="57">
        <v>3.0000000000000001E-3</v>
      </c>
      <c r="I177" s="57">
        <v>3.0000000000000001E-3</v>
      </c>
      <c r="J177" s="56">
        <v>0</v>
      </c>
      <c r="K177" s="56">
        <v>0</v>
      </c>
      <c r="L177" s="56">
        <v>0</v>
      </c>
      <c r="M177" s="56">
        <v>0</v>
      </c>
      <c r="N177" s="56">
        <v>0</v>
      </c>
      <c r="O177" s="56">
        <v>0</v>
      </c>
      <c r="P177" s="56">
        <v>0</v>
      </c>
      <c r="Q177" s="56">
        <v>-2.6</v>
      </c>
      <c r="R177" s="56">
        <v>0</v>
      </c>
      <c r="S177" s="56">
        <v>0</v>
      </c>
      <c r="T177" s="56">
        <v>0</v>
      </c>
      <c r="U177" s="56">
        <v>-2.4</v>
      </c>
      <c r="V177" s="146">
        <v>-2.4</v>
      </c>
      <c r="W177" s="146"/>
      <c r="X177" s="139"/>
      <c r="Y177" s="146">
        <v>-31.82</v>
      </c>
      <c r="AA177" s="139">
        <v>-10</v>
      </c>
      <c r="AC177" s="139"/>
      <c r="AH177" s="139"/>
      <c r="AJ177" s="139"/>
      <c r="AL177" s="139"/>
      <c r="AN177" s="139"/>
      <c r="AR177" s="56"/>
    </row>
    <row r="178" spans="1:48" x14ac:dyDescent="0.25">
      <c r="A178" s="8">
        <v>513.1</v>
      </c>
      <c r="B178" t="s">
        <v>101</v>
      </c>
      <c r="C178" t="s">
        <v>214</v>
      </c>
      <c r="D178" s="58">
        <v>3</v>
      </c>
      <c r="G178" t="s">
        <v>155</v>
      </c>
      <c r="H178" s="57">
        <v>2.4E-2</v>
      </c>
      <c r="I178" s="57">
        <v>2.4E-2</v>
      </c>
      <c r="J178" s="56">
        <v>0</v>
      </c>
      <c r="K178" s="56">
        <v>-13.72</v>
      </c>
      <c r="L178" s="56">
        <v>0</v>
      </c>
      <c r="M178" s="56">
        <v>0</v>
      </c>
      <c r="N178" s="56">
        <v>0</v>
      </c>
      <c r="O178" s="56">
        <v>0</v>
      </c>
      <c r="P178" s="56">
        <v>-29.98</v>
      </c>
      <c r="Q178" s="56">
        <v>0</v>
      </c>
      <c r="R178" s="56">
        <v>0</v>
      </c>
      <c r="S178" s="56">
        <v>0</v>
      </c>
      <c r="T178" s="56">
        <v>0</v>
      </c>
      <c r="U178" s="56">
        <v>0</v>
      </c>
      <c r="V178" s="146">
        <v>0</v>
      </c>
      <c r="W178" s="146"/>
      <c r="X178" s="139"/>
      <c r="Y178" s="146">
        <v>-161.04</v>
      </c>
      <c r="AC178" s="139"/>
      <c r="AH178" s="139"/>
      <c r="AJ178" s="139"/>
      <c r="AL178" s="139"/>
      <c r="AN178" s="139"/>
      <c r="AR178" s="56"/>
    </row>
    <row r="179" spans="1:48" x14ac:dyDescent="0.25">
      <c r="A179" s="8">
        <v>518.04999999999995</v>
      </c>
      <c r="B179" t="s">
        <v>235</v>
      </c>
      <c r="C179" t="s">
        <v>214</v>
      </c>
      <c r="D179" s="58">
        <v>3</v>
      </c>
      <c r="V179" s="146">
        <v>0</v>
      </c>
      <c r="W179" s="146"/>
      <c r="X179" s="139"/>
      <c r="Y179" s="146"/>
      <c r="AC179" s="139"/>
      <c r="AH179" s="139"/>
      <c r="AJ179" s="139"/>
      <c r="AL179" s="139"/>
      <c r="AN179" s="139"/>
      <c r="AR179" s="56"/>
    </row>
    <row r="180" spans="1:48" x14ac:dyDescent="0.25">
      <c r="A180" s="8">
        <v>518.07000000000005</v>
      </c>
      <c r="B180" t="s">
        <v>117</v>
      </c>
      <c r="C180" t="s">
        <v>214</v>
      </c>
      <c r="D180" s="58">
        <v>3</v>
      </c>
      <c r="G180" t="s">
        <v>155</v>
      </c>
      <c r="H180" s="57">
        <v>1.0489999999999999</v>
      </c>
      <c r="I180" s="57">
        <v>1.0489999999999999</v>
      </c>
      <c r="J180" s="56">
        <v>0</v>
      </c>
      <c r="K180" s="56">
        <v>0</v>
      </c>
      <c r="L180" s="56">
        <v>-474.94</v>
      </c>
      <c r="M180" s="56">
        <v>0</v>
      </c>
      <c r="N180" s="56">
        <v>0</v>
      </c>
      <c r="O180" s="56">
        <v>-474.94</v>
      </c>
      <c r="P180" s="56">
        <v>0</v>
      </c>
      <c r="Q180" s="56">
        <v>0</v>
      </c>
      <c r="R180" s="56">
        <v>-474.94</v>
      </c>
      <c r="S180" s="56">
        <v>0</v>
      </c>
      <c r="T180" s="56">
        <v>0</v>
      </c>
      <c r="U180" s="56">
        <v>-474.94</v>
      </c>
      <c r="V180" s="146">
        <v>0</v>
      </c>
      <c r="W180" s="146"/>
      <c r="X180" s="139"/>
      <c r="Y180" s="146"/>
      <c r="AC180" s="139"/>
      <c r="AH180" s="139"/>
      <c r="AJ180" s="139"/>
      <c r="AL180" s="139"/>
      <c r="AN180" s="139"/>
      <c r="AR180" s="56"/>
    </row>
    <row r="181" spans="1:48" x14ac:dyDescent="0.25">
      <c r="A181" s="8">
        <v>518.1</v>
      </c>
      <c r="B181" t="s">
        <v>102</v>
      </c>
      <c r="C181" t="s">
        <v>214</v>
      </c>
      <c r="D181" s="58">
        <v>3</v>
      </c>
      <c r="G181" t="s">
        <v>155</v>
      </c>
      <c r="H181" s="57">
        <v>0.33</v>
      </c>
      <c r="I181" s="57">
        <v>0.33</v>
      </c>
      <c r="J181" s="56">
        <v>-52.68</v>
      </c>
      <c r="K181" s="56">
        <v>-105.22</v>
      </c>
      <c r="L181" s="56">
        <v>-101.96</v>
      </c>
      <c r="M181" s="56">
        <v>-26.22</v>
      </c>
      <c r="N181" s="56">
        <v>-49.12</v>
      </c>
      <c r="O181" s="56">
        <v>-57.72</v>
      </c>
      <c r="P181" s="56">
        <v>-32.72</v>
      </c>
      <c r="Q181" s="56">
        <v>-32.72</v>
      </c>
      <c r="R181" s="56">
        <v>-53.14</v>
      </c>
      <c r="S181" s="56">
        <v>-45.14</v>
      </c>
      <c r="T181" s="56">
        <v>-20.27</v>
      </c>
      <c r="U181" s="56">
        <v>-20.27</v>
      </c>
      <c r="V181" s="146">
        <v>-274.72000000000003</v>
      </c>
      <c r="W181" s="146"/>
      <c r="X181" s="139"/>
      <c r="Y181" s="146">
        <v>-262.7</v>
      </c>
      <c r="AA181" s="139">
        <v>-807.24</v>
      </c>
      <c r="AC181" s="139">
        <v>-643.62</v>
      </c>
      <c r="AE181" s="139">
        <v>-1354.54</v>
      </c>
      <c r="AG181" s="139">
        <v>-659.94</v>
      </c>
      <c r="AH181" s="139"/>
      <c r="AI181" s="139">
        <v>-370</v>
      </c>
      <c r="AJ181" s="139"/>
      <c r="AK181" s="139">
        <v>-279.04000000000002</v>
      </c>
      <c r="AL181" s="139"/>
      <c r="AN181" s="139"/>
      <c r="AR181" s="56"/>
    </row>
    <row r="182" spans="1:48" x14ac:dyDescent="0.25">
      <c r="A182" s="8">
        <v>518.20000000000005</v>
      </c>
      <c r="B182" t="s">
        <v>162</v>
      </c>
      <c r="C182" t="s">
        <v>193</v>
      </c>
      <c r="D182" s="58">
        <v>3</v>
      </c>
      <c r="G182" t="s">
        <v>155</v>
      </c>
      <c r="H182" s="57">
        <v>2.8130000000000002</v>
      </c>
      <c r="I182" s="57">
        <v>2.8130000000000002</v>
      </c>
      <c r="J182" s="56">
        <v>-596.66999999999996</v>
      </c>
      <c r="K182" s="56">
        <v>0</v>
      </c>
      <c r="L182" s="56">
        <v>0</v>
      </c>
      <c r="M182" s="56">
        <v>0</v>
      </c>
      <c r="N182" s="56">
        <v>-3003.33</v>
      </c>
      <c r="O182" s="56">
        <v>0</v>
      </c>
      <c r="P182" s="56">
        <v>0</v>
      </c>
      <c r="Q182" s="56">
        <v>0</v>
      </c>
      <c r="R182" s="56">
        <v>0</v>
      </c>
      <c r="S182" s="56">
        <v>0</v>
      </c>
      <c r="T182" s="56">
        <v>-609.16999999999996</v>
      </c>
      <c r="U182" s="56">
        <v>-883.33</v>
      </c>
      <c r="V182" s="146">
        <v>-5092.5</v>
      </c>
      <c r="W182" s="146"/>
      <c r="X182" s="139"/>
      <c r="Y182" s="146">
        <v>-5853.92</v>
      </c>
      <c r="AA182" s="139">
        <v>-8764.16</v>
      </c>
      <c r="AC182" s="139"/>
      <c r="AE182" s="139">
        <v>-408.33</v>
      </c>
      <c r="AG182" s="139">
        <v>-3466.65</v>
      </c>
      <c r="AH182" s="139"/>
      <c r="AI182" s="139">
        <v>-5633.35</v>
      </c>
      <c r="AJ182" s="139"/>
      <c r="AK182" s="139">
        <v>-2875.01</v>
      </c>
      <c r="AL182" s="139"/>
      <c r="AN182" s="139"/>
      <c r="AR182" s="56"/>
    </row>
    <row r="183" spans="1:48" x14ac:dyDescent="0.25">
      <c r="A183" s="8">
        <v>518.21</v>
      </c>
      <c r="B183" t="s">
        <v>103</v>
      </c>
      <c r="C183" t="s">
        <v>197</v>
      </c>
      <c r="D183" s="58">
        <v>3</v>
      </c>
      <c r="G183" t="s">
        <v>155</v>
      </c>
      <c r="H183" s="57">
        <v>20.992999999999999</v>
      </c>
      <c r="I183" s="57">
        <v>20.992999999999999</v>
      </c>
      <c r="J183" s="56">
        <v>-2250</v>
      </c>
      <c r="K183" s="56">
        <v>-1300</v>
      </c>
      <c r="L183" s="56">
        <v>-1000</v>
      </c>
      <c r="M183" s="56">
        <v>-1600</v>
      </c>
      <c r="N183" s="56">
        <v>-1580</v>
      </c>
      <c r="O183" s="56">
        <v>-3616</v>
      </c>
      <c r="P183" s="56">
        <v>-780</v>
      </c>
      <c r="Q183" s="56">
        <v>0</v>
      </c>
      <c r="R183" s="56">
        <v>-1495</v>
      </c>
      <c r="S183" s="56">
        <v>-5491</v>
      </c>
      <c r="T183" s="56">
        <v>-9460</v>
      </c>
      <c r="U183" s="56">
        <v>-9434.86</v>
      </c>
      <c r="V183" s="146">
        <v>-40006.86</v>
      </c>
      <c r="W183" s="146"/>
      <c r="X183" s="139"/>
      <c r="Y183" s="146">
        <v>-50791</v>
      </c>
      <c r="AA183" s="139">
        <v>-46630</v>
      </c>
      <c r="AC183" s="139">
        <v>-31420</v>
      </c>
      <c r="AE183" s="139">
        <v>-51065.599999999999</v>
      </c>
      <c r="AG183" s="139">
        <v>-48129.440000000002</v>
      </c>
      <c r="AH183" s="139"/>
      <c r="AI183" s="139">
        <v>-49564.99</v>
      </c>
      <c r="AJ183" s="139"/>
      <c r="AK183" s="139">
        <v>-51725</v>
      </c>
      <c r="AL183" s="139"/>
      <c r="AN183" s="139"/>
      <c r="AR183" s="56"/>
    </row>
    <row r="184" spans="1:48" x14ac:dyDescent="0.25">
      <c r="A184" s="8">
        <v>518.22</v>
      </c>
      <c r="B184" t="s">
        <v>141</v>
      </c>
      <c r="C184" t="s">
        <v>196</v>
      </c>
      <c r="D184" s="58">
        <v>3</v>
      </c>
      <c r="G184" t="s">
        <v>155</v>
      </c>
      <c r="H184" s="57">
        <v>4.7610000000000001</v>
      </c>
      <c r="I184" s="57">
        <v>4.7610000000000001</v>
      </c>
      <c r="J184" s="56">
        <v>0</v>
      </c>
      <c r="K184" s="56">
        <v>0</v>
      </c>
      <c r="L184" s="56">
        <v>0</v>
      </c>
      <c r="M184" s="56">
        <v>0</v>
      </c>
      <c r="N184" s="56">
        <v>0</v>
      </c>
      <c r="O184" s="56">
        <v>-5213.87</v>
      </c>
      <c r="P184" s="56">
        <v>0</v>
      </c>
      <c r="Q184" s="56">
        <v>0</v>
      </c>
      <c r="R184" s="56">
        <v>0</v>
      </c>
      <c r="S184" s="56">
        <v>0</v>
      </c>
      <c r="T184" s="56">
        <v>0</v>
      </c>
      <c r="U184" s="56">
        <v>-3405.3</v>
      </c>
      <c r="V184" s="146">
        <v>-8619.17</v>
      </c>
      <c r="W184" s="146"/>
      <c r="X184" s="139"/>
      <c r="Y184" s="146">
        <v>-1770.25</v>
      </c>
      <c r="AA184" s="139">
        <v>-2671.05</v>
      </c>
      <c r="AC184" s="139"/>
      <c r="AG184" s="139">
        <v>-2331.86</v>
      </c>
      <c r="AH184" s="139"/>
      <c r="AI184" s="139">
        <v>-3936.92</v>
      </c>
      <c r="AJ184" s="139"/>
      <c r="AK184" s="139">
        <v>-3443.1</v>
      </c>
      <c r="AL184" s="139"/>
      <c r="AN184" s="139"/>
      <c r="AR184" s="56"/>
    </row>
    <row r="185" spans="1:48" x14ac:dyDescent="0.25">
      <c r="A185" s="8">
        <v>518.23</v>
      </c>
      <c r="B185" t="s">
        <v>142</v>
      </c>
      <c r="C185" t="s">
        <v>194</v>
      </c>
      <c r="D185" s="58">
        <v>3</v>
      </c>
      <c r="G185" t="s">
        <v>155</v>
      </c>
      <c r="H185" s="57">
        <v>2.7519999999999998</v>
      </c>
      <c r="I185" s="57">
        <v>2.7519999999999998</v>
      </c>
      <c r="J185" s="56">
        <v>0</v>
      </c>
      <c r="K185" s="56">
        <v>0</v>
      </c>
      <c r="L185" s="56">
        <v>0</v>
      </c>
      <c r="M185" s="56">
        <v>0</v>
      </c>
      <c r="N185" s="56">
        <v>-1162.8</v>
      </c>
      <c r="O185" s="56">
        <v>0</v>
      </c>
      <c r="P185" s="56">
        <v>0</v>
      </c>
      <c r="Q185" s="56">
        <v>0</v>
      </c>
      <c r="R185" s="56">
        <v>0</v>
      </c>
      <c r="S185" s="56">
        <v>0</v>
      </c>
      <c r="T185" s="56">
        <v>-832.6</v>
      </c>
      <c r="U185" s="56">
        <v>-2987.38</v>
      </c>
      <c r="V185" s="146">
        <v>-2982.78</v>
      </c>
      <c r="W185" s="146"/>
      <c r="X185" s="139"/>
      <c r="Y185" s="146">
        <v>-1722.81</v>
      </c>
      <c r="AA185" s="139">
        <v>-533.4</v>
      </c>
      <c r="AC185" s="139"/>
      <c r="AG185" s="139">
        <v>-318.25</v>
      </c>
      <c r="AH185" s="139"/>
      <c r="AI185" s="139">
        <v>-694.2</v>
      </c>
      <c r="AJ185" s="139"/>
      <c r="AK185" s="139">
        <v>-1434.5</v>
      </c>
      <c r="AL185" s="139"/>
      <c r="AN185" s="139"/>
      <c r="AR185" s="56"/>
    </row>
    <row r="186" spans="1:48" x14ac:dyDescent="0.25">
      <c r="A186" s="8">
        <v>518.24</v>
      </c>
      <c r="B186" t="s">
        <v>252</v>
      </c>
      <c r="C186" t="s">
        <v>214</v>
      </c>
      <c r="D186" s="58">
        <v>3</v>
      </c>
      <c r="V186" s="146">
        <v>0</v>
      </c>
      <c r="W186" s="146"/>
      <c r="X186" s="139"/>
      <c r="Y186" s="146">
        <v>-265</v>
      </c>
      <c r="AA186" s="139">
        <v>-99.82</v>
      </c>
      <c r="AC186" s="139"/>
      <c r="AG186" s="139">
        <v>-65</v>
      </c>
      <c r="AH186" s="139"/>
      <c r="AJ186" s="139"/>
      <c r="AL186" s="139"/>
      <c r="AN186" s="139"/>
      <c r="AR186" s="56"/>
    </row>
    <row r="187" spans="1:48" x14ac:dyDescent="0.25">
      <c r="A187" s="8">
        <v>518.26</v>
      </c>
      <c r="B187" t="s">
        <v>143</v>
      </c>
      <c r="C187" t="s">
        <v>214</v>
      </c>
      <c r="D187" s="58">
        <v>3</v>
      </c>
      <c r="G187" t="s">
        <v>155</v>
      </c>
      <c r="H187" s="57">
        <v>0.746</v>
      </c>
      <c r="I187" s="57">
        <v>0.746</v>
      </c>
      <c r="J187" s="56">
        <v>0</v>
      </c>
      <c r="K187" s="56">
        <v>0</v>
      </c>
      <c r="L187" s="56">
        <v>0</v>
      </c>
      <c r="M187" s="56">
        <v>0</v>
      </c>
      <c r="N187" s="56">
        <v>0</v>
      </c>
      <c r="O187" s="56">
        <v>-13.2</v>
      </c>
      <c r="P187" s="56">
        <v>0</v>
      </c>
      <c r="Q187" s="56">
        <v>0</v>
      </c>
      <c r="R187" s="56">
        <v>-50</v>
      </c>
      <c r="S187" s="56">
        <v>0</v>
      </c>
      <c r="T187" s="56">
        <v>0</v>
      </c>
      <c r="U187" s="56">
        <v>-1288.27</v>
      </c>
      <c r="V187" s="146">
        <v>-1351.47</v>
      </c>
      <c r="W187" s="146"/>
      <c r="X187" s="139"/>
      <c r="Y187" s="146">
        <v>-10154.99</v>
      </c>
      <c r="AA187" s="139">
        <v>-5346.13</v>
      </c>
      <c r="AC187" s="139">
        <v>-1356</v>
      </c>
      <c r="AH187" s="56"/>
      <c r="AI187" s="139">
        <v>-2094.75</v>
      </c>
      <c r="AJ187" s="56"/>
      <c r="AL187" s="56"/>
      <c r="AN187" s="56"/>
      <c r="AR187" s="56"/>
    </row>
    <row r="188" spans="1:48" x14ac:dyDescent="0.25">
      <c r="A188" s="8">
        <v>518.27</v>
      </c>
      <c r="B188" t="s">
        <v>253</v>
      </c>
      <c r="C188" t="s">
        <v>213</v>
      </c>
      <c r="D188" s="58">
        <v>3</v>
      </c>
      <c r="V188" s="146">
        <v>0</v>
      </c>
      <c r="W188" s="146"/>
      <c r="X188" s="139"/>
      <c r="Y188" s="146">
        <v>-170</v>
      </c>
      <c r="AA188" s="139">
        <v>-20</v>
      </c>
      <c r="AC188" s="139">
        <v>-69.959999999999994</v>
      </c>
      <c r="AE188" s="139">
        <v>-79.98</v>
      </c>
      <c r="AH188" s="56"/>
      <c r="AJ188" s="56"/>
      <c r="AL188" s="56"/>
      <c r="AN188" s="56"/>
      <c r="AR188" s="56"/>
      <c r="AT188" s="8"/>
      <c r="AU188" s="56"/>
      <c r="AV188" s="56"/>
    </row>
    <row r="189" spans="1:48" x14ac:dyDescent="0.25">
      <c r="A189" s="8">
        <v>518.29999999999995</v>
      </c>
      <c r="B189" t="s">
        <v>104</v>
      </c>
      <c r="C189" t="s">
        <v>195</v>
      </c>
      <c r="D189" s="58">
        <v>3</v>
      </c>
      <c r="G189" t="s">
        <v>155</v>
      </c>
      <c r="H189" s="57">
        <v>18.094999999999999</v>
      </c>
      <c r="I189" s="57">
        <v>18.094999999999999</v>
      </c>
      <c r="J189" s="56">
        <v>-1835.56</v>
      </c>
      <c r="K189" s="56">
        <v>0</v>
      </c>
      <c r="L189" s="56">
        <v>0</v>
      </c>
      <c r="M189" s="56">
        <v>-148.19999999999999</v>
      </c>
      <c r="N189" s="56">
        <v>-10961.04</v>
      </c>
      <c r="O189" s="56">
        <v>-217.93</v>
      </c>
      <c r="P189" s="56">
        <v>0</v>
      </c>
      <c r="Q189" s="56">
        <v>0</v>
      </c>
      <c r="R189" s="56">
        <v>-799.07</v>
      </c>
      <c r="S189" s="56">
        <v>-1835.4</v>
      </c>
      <c r="T189" s="56">
        <v>-5012.76</v>
      </c>
      <c r="U189" s="56">
        <v>-11951.09</v>
      </c>
      <c r="V189" s="146">
        <v>-32758.66</v>
      </c>
      <c r="W189" s="146"/>
      <c r="X189" s="139"/>
      <c r="Y189" s="146">
        <v>-23381.41</v>
      </c>
      <c r="AA189" s="139">
        <v>-30881.599999999999</v>
      </c>
      <c r="AC189" s="139">
        <v>-731.7</v>
      </c>
      <c r="AE189" s="139">
        <v>-938.19</v>
      </c>
      <c r="AG189" s="139">
        <v>-14216.85</v>
      </c>
      <c r="AH189" s="56"/>
      <c r="AI189" s="139">
        <v>-19108.02</v>
      </c>
      <c r="AJ189" s="56"/>
      <c r="AK189" s="139">
        <v>-15022.88</v>
      </c>
      <c r="AL189" s="56"/>
      <c r="AN189" s="56"/>
      <c r="AR189" s="56"/>
      <c r="AT189" s="8"/>
      <c r="AU189" s="56"/>
      <c r="AV189" s="56"/>
    </row>
    <row r="190" spans="1:48" x14ac:dyDescent="0.25">
      <c r="A190" s="8">
        <v>518.4</v>
      </c>
      <c r="B190" t="s">
        <v>163</v>
      </c>
      <c r="C190" t="s">
        <v>214</v>
      </c>
      <c r="D190" s="58">
        <v>3</v>
      </c>
      <c r="G190" t="s">
        <v>155</v>
      </c>
      <c r="H190" s="57">
        <v>7.2930000000000001</v>
      </c>
      <c r="I190" s="57">
        <v>7.2930000000000001</v>
      </c>
      <c r="J190" s="56">
        <v>0</v>
      </c>
      <c r="K190" s="56">
        <v>0</v>
      </c>
      <c r="L190" s="56">
        <v>-3296</v>
      </c>
      <c r="M190" s="56">
        <v>0</v>
      </c>
      <c r="N190" s="56">
        <v>0</v>
      </c>
      <c r="O190" s="56">
        <v>-3296</v>
      </c>
      <c r="P190" s="56">
        <v>0</v>
      </c>
      <c r="Q190" s="56">
        <v>0</v>
      </c>
      <c r="R190" s="56">
        <v>-3296</v>
      </c>
      <c r="S190" s="56">
        <v>0</v>
      </c>
      <c r="T190" s="56">
        <v>0</v>
      </c>
      <c r="U190" s="56">
        <v>-3316</v>
      </c>
      <c r="V190" s="146">
        <v>0</v>
      </c>
      <c r="W190" s="146"/>
      <c r="X190" s="139"/>
      <c r="Y190" s="146"/>
      <c r="AC190" s="139"/>
      <c r="AR190" s="56"/>
      <c r="AT190" s="8"/>
      <c r="AU190" s="56"/>
      <c r="AV190" s="56"/>
    </row>
    <row r="191" spans="1:48" x14ac:dyDescent="0.25">
      <c r="A191" s="8">
        <v>518.41</v>
      </c>
      <c r="B191" t="s">
        <v>164</v>
      </c>
      <c r="C191" t="s">
        <v>214</v>
      </c>
      <c r="D191" s="58">
        <v>3</v>
      </c>
      <c r="G191" t="s">
        <v>155</v>
      </c>
      <c r="H191" s="57">
        <v>2.016</v>
      </c>
      <c r="I191" s="57">
        <v>2.016</v>
      </c>
      <c r="J191" s="56">
        <v>0</v>
      </c>
      <c r="K191" s="56">
        <v>0</v>
      </c>
      <c r="L191" s="56">
        <v>-969.74</v>
      </c>
      <c r="M191" s="56">
        <v>0</v>
      </c>
      <c r="N191" s="56">
        <v>0</v>
      </c>
      <c r="O191" s="56">
        <v>-969.74</v>
      </c>
      <c r="P191" s="56">
        <v>0</v>
      </c>
      <c r="Q191" s="56">
        <v>0</v>
      </c>
      <c r="R191" s="56">
        <v>-969.74</v>
      </c>
      <c r="S191" s="56">
        <v>0</v>
      </c>
      <c r="T191" s="56">
        <v>0</v>
      </c>
      <c r="U191" s="56">
        <v>-740.43</v>
      </c>
      <c r="V191" s="146">
        <v>0</v>
      </c>
      <c r="W191" s="146"/>
      <c r="X191" s="139"/>
      <c r="Y191" s="146"/>
      <c r="AC191" s="139"/>
      <c r="AR191" s="56"/>
      <c r="AT191" s="8"/>
      <c r="AU191" s="56"/>
      <c r="AV191" s="56"/>
    </row>
    <row r="192" spans="1:48" x14ac:dyDescent="0.25">
      <c r="A192" s="8">
        <v>518.41999999999996</v>
      </c>
      <c r="B192" t="s">
        <v>105</v>
      </c>
      <c r="C192" t="s">
        <v>214</v>
      </c>
      <c r="D192" s="58">
        <v>3</v>
      </c>
      <c r="G192" t="s">
        <v>155</v>
      </c>
      <c r="H192" s="57">
        <v>0.629</v>
      </c>
      <c r="I192" s="57">
        <v>0.629</v>
      </c>
      <c r="J192" s="56">
        <v>-103.57</v>
      </c>
      <c r="K192" s="56">
        <v>-103.57</v>
      </c>
      <c r="L192" s="56">
        <v>-103.57</v>
      </c>
      <c r="M192" s="56">
        <v>-103.57</v>
      </c>
      <c r="N192" s="56">
        <v>-103.57</v>
      </c>
      <c r="O192" s="56">
        <v>-103.57</v>
      </c>
      <c r="P192" s="56">
        <v>-103.57</v>
      </c>
      <c r="Q192" s="56">
        <v>0</v>
      </c>
      <c r="R192" s="56">
        <v>-103.57</v>
      </c>
      <c r="S192" s="56">
        <v>-103.57</v>
      </c>
      <c r="T192" s="56">
        <v>-103.57</v>
      </c>
      <c r="U192" s="56">
        <v>-103.57</v>
      </c>
      <c r="V192" s="146">
        <v>0</v>
      </c>
      <c r="W192" s="146"/>
      <c r="X192" s="139"/>
      <c r="Y192" s="146"/>
      <c r="AC192" s="139"/>
      <c r="AR192" s="56"/>
      <c r="AT192" s="8"/>
      <c r="AU192" s="56"/>
      <c r="AV192" s="56"/>
    </row>
    <row r="193" spans="1:48" x14ac:dyDescent="0.25">
      <c r="A193" s="8">
        <v>518.42999999999995</v>
      </c>
      <c r="B193" t="s">
        <v>287</v>
      </c>
      <c r="C193" t="s">
        <v>208</v>
      </c>
      <c r="D193" s="58">
        <v>3</v>
      </c>
      <c r="V193" s="146">
        <v>0</v>
      </c>
      <c r="W193" s="146"/>
      <c r="X193" s="139"/>
      <c r="Y193" s="146"/>
      <c r="AC193" s="139"/>
      <c r="AR193" s="56"/>
      <c r="AT193" s="8"/>
      <c r="AU193" s="56"/>
      <c r="AV193" s="56"/>
    </row>
    <row r="194" spans="1:48" x14ac:dyDescent="0.25">
      <c r="A194" s="8">
        <v>518.5</v>
      </c>
      <c r="B194" t="s">
        <v>106</v>
      </c>
      <c r="C194" t="s">
        <v>214</v>
      </c>
      <c r="D194" s="58">
        <v>3</v>
      </c>
      <c r="G194" t="s">
        <v>155</v>
      </c>
      <c r="H194" s="57">
        <v>1.2730000000000001</v>
      </c>
      <c r="I194" s="57">
        <v>1.2730000000000001</v>
      </c>
      <c r="J194" s="56">
        <v>-218.67</v>
      </c>
      <c r="K194" s="56">
        <v>-240.52</v>
      </c>
      <c r="L194" s="56">
        <v>-207.81</v>
      </c>
      <c r="M194" s="56">
        <v>-222.93</v>
      </c>
      <c r="N194" s="56">
        <v>-219.44</v>
      </c>
      <c r="O194" s="56">
        <v>-222.51</v>
      </c>
      <c r="P194" s="56">
        <v>-225.69</v>
      </c>
      <c r="Q194" s="56">
        <v>-214.02</v>
      </c>
      <c r="R194" s="56">
        <v>-167.8</v>
      </c>
      <c r="S194" s="56">
        <v>-178.45</v>
      </c>
      <c r="T194" s="56">
        <v>-187.11</v>
      </c>
      <c r="U194" s="56">
        <v>0</v>
      </c>
      <c r="V194" s="146">
        <v>0</v>
      </c>
      <c r="W194" s="146"/>
      <c r="X194" s="139"/>
      <c r="Y194" s="146"/>
      <c r="AC194" s="139"/>
      <c r="AR194" s="56"/>
      <c r="AT194" s="8"/>
      <c r="AU194" s="56"/>
      <c r="AV194" s="56"/>
    </row>
    <row r="195" spans="1:48" x14ac:dyDescent="0.25">
      <c r="A195" s="8">
        <v>518.51</v>
      </c>
      <c r="B195" t="s">
        <v>285</v>
      </c>
      <c r="C195" t="s">
        <v>214</v>
      </c>
      <c r="D195" s="58">
        <v>3</v>
      </c>
      <c r="V195" s="146">
        <v>0</v>
      </c>
      <c r="W195" s="146"/>
      <c r="X195" s="139"/>
      <c r="Y195" s="146"/>
      <c r="AC195" s="139"/>
      <c r="AR195" s="56"/>
      <c r="AT195" s="8"/>
      <c r="AU195" s="56"/>
      <c r="AV195" s="56"/>
    </row>
    <row r="196" spans="1:48" x14ac:dyDescent="0.25">
      <c r="A196" s="8">
        <v>518.6</v>
      </c>
      <c r="B196" t="s">
        <v>165</v>
      </c>
      <c r="C196" t="s">
        <v>214</v>
      </c>
      <c r="D196" s="58">
        <v>3</v>
      </c>
      <c r="G196" t="s">
        <v>155</v>
      </c>
      <c r="H196" s="57">
        <v>0.107</v>
      </c>
      <c r="I196" s="57">
        <v>0.107</v>
      </c>
      <c r="J196" s="56">
        <v>-93.4</v>
      </c>
      <c r="K196" s="56">
        <v>-4.1500000000000004</v>
      </c>
      <c r="L196" s="56">
        <v>-5.3</v>
      </c>
      <c r="M196" s="56">
        <v>-1.25</v>
      </c>
      <c r="N196" s="56">
        <v>-1.4</v>
      </c>
      <c r="O196" s="56">
        <v>-3.4</v>
      </c>
      <c r="P196" s="56">
        <v>-2.7</v>
      </c>
      <c r="Q196" s="56">
        <v>-40.22</v>
      </c>
      <c r="R196" s="56">
        <v>-5</v>
      </c>
      <c r="S196" s="56">
        <v>-0.5</v>
      </c>
      <c r="T196" s="56">
        <v>-5.2</v>
      </c>
      <c r="U196" s="56">
        <v>-30.45</v>
      </c>
      <c r="V196" s="146">
        <v>0</v>
      </c>
      <c r="W196" s="146"/>
      <c r="X196" s="139"/>
      <c r="Y196" s="146">
        <v>-2.4</v>
      </c>
      <c r="AA196" s="139">
        <v>-1342.91</v>
      </c>
      <c r="AC196" s="139">
        <v>-845.81</v>
      </c>
      <c r="AE196" s="139">
        <v>-850.6</v>
      </c>
      <c r="AG196" s="139">
        <v>-730.38</v>
      </c>
      <c r="AH196" s="56"/>
      <c r="AI196" s="139">
        <v>-499.51</v>
      </c>
      <c r="AJ196" s="56"/>
      <c r="AK196" s="139">
        <v>-397.1</v>
      </c>
      <c r="AL196" s="56"/>
      <c r="AN196" s="56"/>
      <c r="AR196" s="56"/>
      <c r="AT196" s="8"/>
      <c r="AU196" s="56"/>
      <c r="AV196" s="56"/>
    </row>
    <row r="197" spans="1:48" x14ac:dyDescent="0.25">
      <c r="A197" s="8">
        <v>518.70000000000005</v>
      </c>
      <c r="B197" t="s">
        <v>166</v>
      </c>
      <c r="C197" t="s">
        <v>214</v>
      </c>
      <c r="D197" s="58">
        <v>3</v>
      </c>
      <c r="G197" t="s">
        <v>155</v>
      </c>
      <c r="H197" s="57">
        <v>1.1599999999999999</v>
      </c>
      <c r="I197" s="57">
        <v>1.1599999999999999</v>
      </c>
      <c r="J197" s="56">
        <v>0</v>
      </c>
      <c r="K197" s="56">
        <v>0</v>
      </c>
      <c r="L197" s="56">
        <v>0</v>
      </c>
      <c r="M197" s="56">
        <v>0</v>
      </c>
      <c r="N197" s="56">
        <v>0</v>
      </c>
      <c r="O197" s="56">
        <v>0</v>
      </c>
      <c r="P197" s="56">
        <v>0</v>
      </c>
      <c r="Q197" s="56">
        <v>0</v>
      </c>
      <c r="R197" s="56">
        <v>0</v>
      </c>
      <c r="S197" s="56">
        <v>0</v>
      </c>
      <c r="T197" s="56">
        <v>0</v>
      </c>
      <c r="U197" s="56">
        <v>-2100</v>
      </c>
      <c r="V197" s="146">
        <v>0</v>
      </c>
      <c r="W197" s="146"/>
      <c r="X197" s="139"/>
      <c r="Y197" s="146"/>
      <c r="AC197" s="139"/>
      <c r="AR197" s="56"/>
      <c r="AT197" s="8"/>
      <c r="AU197" s="56"/>
      <c r="AV197" s="56"/>
    </row>
    <row r="198" spans="1:48" x14ac:dyDescent="0.25">
      <c r="A198" s="8">
        <v>518.71</v>
      </c>
      <c r="B198" t="s">
        <v>167</v>
      </c>
      <c r="C198" t="s">
        <v>214</v>
      </c>
      <c r="D198" s="58">
        <v>3</v>
      </c>
      <c r="G198" t="s">
        <v>155</v>
      </c>
      <c r="H198" s="57">
        <v>5.468</v>
      </c>
      <c r="I198" s="57">
        <v>5.468</v>
      </c>
      <c r="J198" s="56">
        <v>0</v>
      </c>
      <c r="K198" s="56">
        <v>0</v>
      </c>
      <c r="L198" s="56">
        <v>0</v>
      </c>
      <c r="M198" s="56">
        <v>0</v>
      </c>
      <c r="N198" s="56">
        <v>0</v>
      </c>
      <c r="O198" s="56">
        <v>0</v>
      </c>
      <c r="P198" s="56">
        <v>0</v>
      </c>
      <c r="Q198" s="56">
        <v>0</v>
      </c>
      <c r="R198" s="56">
        <v>0</v>
      </c>
      <c r="S198" s="56">
        <v>0</v>
      </c>
      <c r="T198" s="56">
        <v>0</v>
      </c>
      <c r="U198" s="56">
        <v>-9900</v>
      </c>
      <c r="V198" s="146">
        <v>0</v>
      </c>
      <c r="W198" s="146"/>
      <c r="X198" s="139"/>
      <c r="Y198" s="146"/>
      <c r="AC198" s="139"/>
      <c r="AR198" s="56"/>
      <c r="AT198" s="8"/>
      <c r="AU198" s="56"/>
      <c r="AV198" s="56"/>
    </row>
    <row r="199" spans="1:48" x14ac:dyDescent="0.25">
      <c r="A199" s="8">
        <v>518.79999999999995</v>
      </c>
      <c r="B199" t="s">
        <v>108</v>
      </c>
      <c r="C199" t="s">
        <v>213</v>
      </c>
      <c r="D199" s="58">
        <v>3</v>
      </c>
      <c r="G199" t="s">
        <v>155</v>
      </c>
      <c r="H199" s="57">
        <v>0.42499999999999999</v>
      </c>
      <c r="I199" s="57">
        <v>0.42499999999999999</v>
      </c>
      <c r="J199" s="56">
        <v>0</v>
      </c>
      <c r="K199" s="56">
        <v>-770</v>
      </c>
      <c r="L199" s="56">
        <v>0</v>
      </c>
      <c r="M199" s="56">
        <v>0</v>
      </c>
      <c r="N199" s="56">
        <v>0</v>
      </c>
      <c r="O199" s="56">
        <v>0</v>
      </c>
      <c r="P199" s="56">
        <v>0</v>
      </c>
      <c r="Q199" s="56">
        <v>0</v>
      </c>
      <c r="R199" s="56">
        <v>0</v>
      </c>
      <c r="S199" s="56">
        <v>0</v>
      </c>
      <c r="T199" s="56">
        <v>0</v>
      </c>
      <c r="U199" s="56">
        <v>0</v>
      </c>
      <c r="V199" s="146">
        <v>0</v>
      </c>
      <c r="W199" s="146"/>
      <c r="X199" s="139"/>
      <c r="Y199" s="146"/>
      <c r="AC199" s="139"/>
      <c r="AR199" s="56"/>
      <c r="AT199" s="8"/>
      <c r="AU199" s="56"/>
      <c r="AV199" s="56"/>
    </row>
    <row r="200" spans="1:48" x14ac:dyDescent="0.25">
      <c r="A200" s="8">
        <v>518.9</v>
      </c>
      <c r="B200" t="s">
        <v>118</v>
      </c>
      <c r="C200" t="s">
        <v>214</v>
      </c>
      <c r="D200" s="58">
        <v>3</v>
      </c>
      <c r="G200" t="s">
        <v>155</v>
      </c>
      <c r="H200" s="57">
        <v>3.0000000000000001E-3</v>
      </c>
      <c r="I200" s="57">
        <v>3.0000000000000001E-3</v>
      </c>
      <c r="J200" s="56">
        <v>-6</v>
      </c>
      <c r="K200" s="56">
        <v>0</v>
      </c>
      <c r="L200" s="56">
        <v>0</v>
      </c>
      <c r="M200" s="56">
        <v>0</v>
      </c>
      <c r="N200" s="56">
        <v>0</v>
      </c>
      <c r="O200" s="56">
        <v>0</v>
      </c>
      <c r="P200" s="56">
        <v>0</v>
      </c>
      <c r="Q200" s="56">
        <v>0</v>
      </c>
      <c r="R200" s="56">
        <v>0</v>
      </c>
      <c r="S200" s="56">
        <v>0</v>
      </c>
      <c r="T200" s="56">
        <v>0</v>
      </c>
      <c r="U200" s="56">
        <v>0</v>
      </c>
      <c r="V200" s="146">
        <v>0</v>
      </c>
      <c r="W200" s="146"/>
      <c r="X200" s="139"/>
      <c r="Y200" s="146"/>
      <c r="AC200" s="139"/>
      <c r="AR200" s="56"/>
      <c r="AT200" s="8"/>
      <c r="AU200" s="56"/>
      <c r="AV200" s="56"/>
    </row>
    <row r="201" spans="1:48" x14ac:dyDescent="0.25">
      <c r="A201" s="8">
        <v>518.91999999999996</v>
      </c>
      <c r="B201" t="s">
        <v>168</v>
      </c>
      <c r="C201" t="s">
        <v>214</v>
      </c>
      <c r="D201" s="58">
        <v>3</v>
      </c>
      <c r="G201" t="s">
        <v>155</v>
      </c>
      <c r="H201" s="57">
        <v>1.0720000000000001</v>
      </c>
      <c r="I201" s="57">
        <v>1.0720000000000001</v>
      </c>
      <c r="J201" s="56">
        <v>-148</v>
      </c>
      <c r="K201" s="56">
        <v>-1054</v>
      </c>
      <c r="L201" s="56">
        <v>-28</v>
      </c>
      <c r="M201" s="56">
        <v>-58</v>
      </c>
      <c r="N201" s="56">
        <v>-28</v>
      </c>
      <c r="O201" s="56">
        <v>-28</v>
      </c>
      <c r="P201" s="56">
        <v>-226.55</v>
      </c>
      <c r="Q201" s="56">
        <v>-28</v>
      </c>
      <c r="R201" s="56">
        <v>-28</v>
      </c>
      <c r="S201" s="56">
        <v>-259</v>
      </c>
      <c r="T201" s="56">
        <v>-28</v>
      </c>
      <c r="U201" s="56">
        <v>-28</v>
      </c>
      <c r="V201" s="146">
        <v>0</v>
      </c>
      <c r="W201" s="146"/>
      <c r="X201" s="139"/>
      <c r="Y201" s="146"/>
      <c r="AA201" s="139">
        <v>-900</v>
      </c>
      <c r="AC201" s="139">
        <v>-30.54</v>
      </c>
      <c r="AH201" s="56"/>
      <c r="AJ201" s="56"/>
      <c r="AK201" s="139">
        <v>-6250</v>
      </c>
      <c r="AL201" s="56"/>
      <c r="AN201" s="56"/>
      <c r="AR201" s="56"/>
      <c r="AT201" s="8"/>
      <c r="AU201" s="56"/>
      <c r="AV201" s="56"/>
    </row>
    <row r="202" spans="1:48" x14ac:dyDescent="0.25">
      <c r="A202" s="8">
        <v>521.1</v>
      </c>
      <c r="B202" t="s">
        <v>169</v>
      </c>
      <c r="C202" s="9" t="s">
        <v>40</v>
      </c>
      <c r="D202" s="58">
        <v>3</v>
      </c>
      <c r="G202" t="s">
        <v>155</v>
      </c>
      <c r="H202" s="57">
        <v>14.834</v>
      </c>
      <c r="I202" s="57">
        <v>14.834</v>
      </c>
      <c r="J202" s="56">
        <v>-2470.1</v>
      </c>
      <c r="K202" s="56">
        <v>-2778.06</v>
      </c>
      <c r="L202" s="56">
        <v>-2686.63</v>
      </c>
      <c r="M202" s="56">
        <v>-1690</v>
      </c>
      <c r="N202" s="56">
        <v>-1698.35</v>
      </c>
      <c r="O202" s="56">
        <v>-1546.32</v>
      </c>
      <c r="P202" s="56">
        <v>-1488.91</v>
      </c>
      <c r="Q202" s="56">
        <v>-1546.45</v>
      </c>
      <c r="R202" s="56">
        <v>-1773.76</v>
      </c>
      <c r="S202" s="56">
        <v>-1540</v>
      </c>
      <c r="T202" s="56">
        <v>-7638.58</v>
      </c>
      <c r="U202" s="56">
        <v>0</v>
      </c>
      <c r="V202" s="146">
        <v>-11837.6</v>
      </c>
      <c r="W202" s="146"/>
      <c r="X202" s="139"/>
      <c r="Y202" s="146">
        <v>-12601.06</v>
      </c>
      <c r="AA202" s="139">
        <v>-10328.75</v>
      </c>
      <c r="AC202" s="139">
        <v>-9897.81</v>
      </c>
      <c r="AE202" s="139">
        <v>-12139.53</v>
      </c>
      <c r="AG202" s="139">
        <v>-13079.96</v>
      </c>
      <c r="AH202" s="56"/>
      <c r="AI202" s="139">
        <v>-13638.67</v>
      </c>
      <c r="AJ202" s="56"/>
      <c r="AK202" s="139">
        <v>-14735.04</v>
      </c>
      <c r="AL202" s="56"/>
      <c r="AN202" s="56"/>
      <c r="AR202" s="56"/>
      <c r="AT202" s="8"/>
      <c r="AU202" s="56"/>
      <c r="AV202" s="56"/>
    </row>
    <row r="203" spans="1:48" x14ac:dyDescent="0.25">
      <c r="A203" s="8">
        <v>521.20000000000005</v>
      </c>
      <c r="B203" t="s">
        <v>109</v>
      </c>
      <c r="C203" s="9" t="s">
        <v>40</v>
      </c>
      <c r="D203" s="58">
        <v>3</v>
      </c>
      <c r="G203" t="s">
        <v>155</v>
      </c>
      <c r="H203" s="57">
        <v>1.2150000000000001</v>
      </c>
      <c r="I203" s="57">
        <v>1.2150000000000001</v>
      </c>
      <c r="J203" s="56">
        <v>-200</v>
      </c>
      <c r="K203" s="56">
        <v>-200</v>
      </c>
      <c r="L203" s="56">
        <v>-200</v>
      </c>
      <c r="M203" s="56">
        <v>-200</v>
      </c>
      <c r="N203" s="56">
        <v>-200</v>
      </c>
      <c r="O203" s="56">
        <v>-200</v>
      </c>
      <c r="P203" s="56">
        <v>-200</v>
      </c>
      <c r="Q203" s="56">
        <v>-200</v>
      </c>
      <c r="R203" s="56">
        <v>-200</v>
      </c>
      <c r="S203" s="56">
        <v>-200</v>
      </c>
      <c r="T203" s="56">
        <v>-200</v>
      </c>
      <c r="U203" s="56">
        <v>0</v>
      </c>
      <c r="V203" s="146">
        <v>0</v>
      </c>
      <c r="W203" s="146"/>
      <c r="X203" s="139"/>
      <c r="Y203" s="146"/>
      <c r="AA203" s="139">
        <v>-180</v>
      </c>
      <c r="AC203" s="139"/>
      <c r="AH203" s="56"/>
      <c r="AJ203" s="56"/>
      <c r="AL203" s="56"/>
      <c r="AN203" s="56"/>
      <c r="AR203" s="56"/>
    </row>
    <row r="204" spans="1:48" x14ac:dyDescent="0.25">
      <c r="A204" s="8">
        <v>523.1</v>
      </c>
      <c r="B204" t="s">
        <v>110</v>
      </c>
      <c r="C204" s="9" t="s">
        <v>40</v>
      </c>
      <c r="D204" s="58">
        <v>3</v>
      </c>
      <c r="G204" t="s">
        <v>155</v>
      </c>
      <c r="H204" s="57">
        <v>2.347</v>
      </c>
      <c r="I204" s="57">
        <v>2.347</v>
      </c>
      <c r="J204" s="56">
        <v>-850</v>
      </c>
      <c r="K204" s="56">
        <v>-850</v>
      </c>
      <c r="L204" s="56">
        <v>-850</v>
      </c>
      <c r="M204" s="56">
        <v>-850</v>
      </c>
      <c r="N204" s="56">
        <v>-850</v>
      </c>
      <c r="O204" s="56">
        <v>0</v>
      </c>
      <c r="P204" s="56">
        <v>0</v>
      </c>
      <c r="Q204" s="56">
        <v>0</v>
      </c>
      <c r="R204" s="56">
        <v>0</v>
      </c>
      <c r="S204" s="56">
        <v>0</v>
      </c>
      <c r="T204" s="56">
        <v>0</v>
      </c>
      <c r="U204" s="56">
        <v>0</v>
      </c>
      <c r="V204" s="146">
        <v>0</v>
      </c>
      <c r="W204" s="146"/>
      <c r="X204" s="139"/>
      <c r="Y204" s="146"/>
      <c r="AC204" s="139"/>
      <c r="AR204" s="56"/>
    </row>
    <row r="205" spans="1:48" x14ac:dyDescent="0.25">
      <c r="A205" s="8">
        <v>523.20000000000005</v>
      </c>
      <c r="B205" t="s">
        <v>111</v>
      </c>
      <c r="C205" s="9" t="s">
        <v>40</v>
      </c>
      <c r="D205" s="58">
        <v>3</v>
      </c>
      <c r="G205" t="s">
        <v>155</v>
      </c>
      <c r="H205" s="57">
        <v>9.9000000000000005E-2</v>
      </c>
      <c r="I205" s="57">
        <v>9.9000000000000005E-2</v>
      </c>
      <c r="J205" s="56">
        <v>0</v>
      </c>
      <c r="K205" s="56">
        <v>-120</v>
      </c>
      <c r="L205" s="56">
        <v>0</v>
      </c>
      <c r="M205" s="56">
        <v>0</v>
      </c>
      <c r="N205" s="56">
        <v>0</v>
      </c>
      <c r="O205" s="56">
        <v>0</v>
      </c>
      <c r="P205" s="56">
        <v>0</v>
      </c>
      <c r="Q205" s="56">
        <v>0</v>
      </c>
      <c r="R205" s="56">
        <v>0</v>
      </c>
      <c r="S205" s="56">
        <v>-60</v>
      </c>
      <c r="T205" s="56">
        <v>0</v>
      </c>
      <c r="U205" s="56">
        <v>0</v>
      </c>
      <c r="V205" s="146">
        <v>0</v>
      </c>
      <c r="W205" s="146"/>
      <c r="X205" s="139"/>
      <c r="Y205" s="146"/>
      <c r="AC205" s="139"/>
      <c r="AR205" s="56"/>
      <c r="AT205" s="8"/>
      <c r="AU205" s="56"/>
    </row>
    <row r="206" spans="1:48" x14ac:dyDescent="0.25">
      <c r="A206" s="8">
        <v>524.1</v>
      </c>
      <c r="B206" t="s">
        <v>170</v>
      </c>
      <c r="C206" s="9" t="s">
        <v>40</v>
      </c>
      <c r="D206" s="58">
        <v>3</v>
      </c>
      <c r="G206" t="s">
        <v>155</v>
      </c>
      <c r="H206" s="57">
        <v>6.0819999999999999</v>
      </c>
      <c r="I206" s="57">
        <v>6.0819999999999999</v>
      </c>
      <c r="J206" s="56">
        <v>-1199.21</v>
      </c>
      <c r="K206" s="56">
        <v>-1345.72</v>
      </c>
      <c r="L206" s="56">
        <v>-1275.48</v>
      </c>
      <c r="M206" s="56">
        <v>-924.74</v>
      </c>
      <c r="N206" s="56">
        <v>-927.65</v>
      </c>
      <c r="O206" s="56">
        <v>-583.80999999999995</v>
      </c>
      <c r="P206" s="56">
        <v>-563.59</v>
      </c>
      <c r="Q206" s="56">
        <v>-583.83000000000004</v>
      </c>
      <c r="R206" s="56">
        <v>-663.9</v>
      </c>
      <c r="S206" s="56">
        <v>-600.70000000000005</v>
      </c>
      <c r="T206" s="56">
        <v>-2342.33</v>
      </c>
      <c r="U206" s="56">
        <v>0</v>
      </c>
      <c r="V206" s="146">
        <v>-4166.47</v>
      </c>
      <c r="W206" s="146"/>
      <c r="X206" s="139"/>
      <c r="Y206" s="146">
        <v>-4281.6499999999996</v>
      </c>
      <c r="AA206" s="139">
        <v>-3644.4</v>
      </c>
      <c r="AC206" s="139">
        <v>-3483.94</v>
      </c>
      <c r="AE206" s="139">
        <v>-4272.95</v>
      </c>
      <c r="AG206" s="139">
        <v>-4603.6400000000003</v>
      </c>
      <c r="AH206" s="56"/>
      <c r="AI206" s="139">
        <v>-4813.0600000000004</v>
      </c>
      <c r="AJ206" s="56"/>
      <c r="AK206" s="139">
        <v>-5333.7</v>
      </c>
      <c r="AL206" s="56"/>
      <c r="AN206" s="56"/>
      <c r="AR206" s="56"/>
      <c r="AT206" s="8"/>
      <c r="AU206" s="56"/>
    </row>
    <row r="207" spans="1:48" x14ac:dyDescent="0.25">
      <c r="A207" s="8">
        <v>527.1</v>
      </c>
      <c r="B207" t="s">
        <v>112</v>
      </c>
      <c r="C207" s="9" t="s">
        <v>40</v>
      </c>
      <c r="D207" s="58">
        <v>3</v>
      </c>
      <c r="G207" t="s">
        <v>155</v>
      </c>
      <c r="H207" s="57">
        <v>6.0999999999999999E-2</v>
      </c>
      <c r="I207" s="57">
        <v>6.0999999999999999E-2</v>
      </c>
      <c r="J207" s="56">
        <v>-12.03</v>
      </c>
      <c r="K207" s="56">
        <v>-14.6</v>
      </c>
      <c r="L207" s="56">
        <v>-12.15</v>
      </c>
      <c r="M207" s="56">
        <v>-10.14</v>
      </c>
      <c r="N207" s="56">
        <v>-10.039999999999999</v>
      </c>
      <c r="O207" s="56">
        <v>-8.9600000000000009</v>
      </c>
      <c r="P207" s="56">
        <v>-8.1199999999999992</v>
      </c>
      <c r="Q207" s="56">
        <v>-5.5</v>
      </c>
      <c r="R207" s="56">
        <v>-10.24</v>
      </c>
      <c r="S207" s="56">
        <v>-9.24</v>
      </c>
      <c r="T207" s="56">
        <v>-8.73</v>
      </c>
      <c r="U207" s="56">
        <v>0</v>
      </c>
      <c r="V207" s="146">
        <v>-54.19</v>
      </c>
      <c r="W207" s="146"/>
      <c r="X207" s="139"/>
      <c r="Y207" s="146">
        <v>-59.15</v>
      </c>
      <c r="AA207" s="139">
        <v>-54.18</v>
      </c>
      <c r="AC207" s="139">
        <v>-53.56</v>
      </c>
      <c r="AE207" s="139">
        <v>-64.62</v>
      </c>
      <c r="AG207" s="139">
        <v>-114.82</v>
      </c>
      <c r="AH207" s="56"/>
      <c r="AI207" s="139">
        <v>-128.56</v>
      </c>
      <c r="AJ207" s="56"/>
      <c r="AK207" s="139">
        <v>-133.16999999999999</v>
      </c>
      <c r="AL207" s="56"/>
      <c r="AN207" s="56"/>
      <c r="AR207" s="56"/>
      <c r="AT207" s="8"/>
      <c r="AU207" s="56"/>
    </row>
    <row r="208" spans="1:48" x14ac:dyDescent="0.25">
      <c r="A208" s="8">
        <v>527.21</v>
      </c>
      <c r="B208" t="s">
        <v>171</v>
      </c>
      <c r="C208" s="9" t="s">
        <v>16</v>
      </c>
      <c r="D208" s="58">
        <v>3</v>
      </c>
      <c r="G208" t="s">
        <v>155</v>
      </c>
      <c r="H208" s="57">
        <v>0.60099999999999998</v>
      </c>
      <c r="I208" s="57">
        <v>0.60099999999999998</v>
      </c>
      <c r="J208" s="56">
        <v>-126.48</v>
      </c>
      <c r="K208" s="56">
        <v>-93.46</v>
      </c>
      <c r="L208" s="56">
        <v>-113.47</v>
      </c>
      <c r="M208" s="56">
        <v>-89.28</v>
      </c>
      <c r="N208" s="56">
        <v>-89.28</v>
      </c>
      <c r="O208" s="56">
        <v>-109.12</v>
      </c>
      <c r="P208" s="56">
        <v>-84.32</v>
      </c>
      <c r="Q208" s="56">
        <v>-86.8</v>
      </c>
      <c r="R208" s="56">
        <v>-37.200000000000003</v>
      </c>
      <c r="S208" s="56">
        <v>-96.72</v>
      </c>
      <c r="T208" s="56">
        <v>-86.8</v>
      </c>
      <c r="U208" s="56">
        <v>-74.400000000000006</v>
      </c>
      <c r="V208" s="146">
        <v>-571.49</v>
      </c>
      <c r="W208" s="146"/>
      <c r="X208" s="139"/>
      <c r="Y208" s="146">
        <v>-518.08000000000004</v>
      </c>
      <c r="AA208" s="139">
        <v>-551.14</v>
      </c>
      <c r="AC208" s="139">
        <v>-517.04</v>
      </c>
      <c r="AE208" s="139">
        <v>-671.59</v>
      </c>
      <c r="AG208" s="139">
        <v>-762.41</v>
      </c>
      <c r="AH208" s="56"/>
      <c r="AI208" s="139">
        <v>-940.64</v>
      </c>
      <c r="AJ208" s="56"/>
      <c r="AK208" s="139">
        <v>-1061.42</v>
      </c>
      <c r="AL208" s="56"/>
      <c r="AN208" s="56"/>
      <c r="AR208" s="56"/>
    </row>
    <row r="209" spans="1:44" x14ac:dyDescent="0.25">
      <c r="A209" s="8">
        <v>527.22</v>
      </c>
      <c r="B209" t="s">
        <v>172</v>
      </c>
      <c r="C209" s="9" t="s">
        <v>16</v>
      </c>
      <c r="D209" s="58">
        <v>3</v>
      </c>
      <c r="G209" t="s">
        <v>155</v>
      </c>
      <c r="H209" s="57">
        <v>0.20700000000000002</v>
      </c>
      <c r="I209" s="57">
        <v>0.20700000000000002</v>
      </c>
      <c r="J209" s="56">
        <v>-87.72</v>
      </c>
      <c r="K209" s="56">
        <v>-61.94</v>
      </c>
      <c r="L209" s="56">
        <v>-79.73</v>
      </c>
      <c r="M209" s="56">
        <v>-72.72</v>
      </c>
      <c r="N209" s="56">
        <v>-72.72</v>
      </c>
      <c r="O209" s="56">
        <v>0</v>
      </c>
      <c r="P209" s="56">
        <v>0</v>
      </c>
      <c r="Q209" s="56">
        <v>0</v>
      </c>
      <c r="R209" s="56">
        <v>0</v>
      </c>
      <c r="S209" s="56">
        <v>0</v>
      </c>
      <c r="T209" s="56">
        <v>0</v>
      </c>
      <c r="U209" s="56">
        <v>0</v>
      </c>
      <c r="V209" s="146">
        <v>-190.01</v>
      </c>
      <c r="W209" s="146"/>
      <c r="X209" s="139"/>
      <c r="Y209" s="146"/>
      <c r="AC209" s="139"/>
      <c r="AR209" s="56"/>
    </row>
    <row r="210" spans="1:44" x14ac:dyDescent="0.25">
      <c r="A210" s="8">
        <v>527.29999999999995</v>
      </c>
      <c r="B210" t="s">
        <v>173</v>
      </c>
      <c r="C210" s="9" t="s">
        <v>40</v>
      </c>
      <c r="D210" s="58">
        <v>3</v>
      </c>
      <c r="G210" t="s">
        <v>155</v>
      </c>
      <c r="H210" s="57">
        <v>0.19700000000000001</v>
      </c>
      <c r="I210" s="57">
        <v>0.19700000000000001</v>
      </c>
      <c r="J210" s="56">
        <v>-275.56</v>
      </c>
      <c r="K210" s="56">
        <v>-80.900000000000006</v>
      </c>
      <c r="L210" s="56">
        <v>0</v>
      </c>
      <c r="M210" s="56">
        <v>0</v>
      </c>
      <c r="N210" s="56">
        <v>0</v>
      </c>
      <c r="O210" s="56">
        <v>0</v>
      </c>
      <c r="P210" s="56">
        <v>0</v>
      </c>
      <c r="Q210" s="56">
        <v>0</v>
      </c>
      <c r="R210" s="56">
        <v>0</v>
      </c>
      <c r="S210" s="56">
        <v>0</v>
      </c>
      <c r="T210" s="56">
        <v>0</v>
      </c>
      <c r="U210" s="56">
        <v>0</v>
      </c>
      <c r="V210" s="146">
        <v>-199.03</v>
      </c>
      <c r="W210" s="146"/>
      <c r="X210" s="139"/>
      <c r="Y210" s="146"/>
      <c r="AC210" s="139"/>
      <c r="AR210" s="56"/>
    </row>
    <row r="211" spans="1:44" x14ac:dyDescent="0.25">
      <c r="A211" s="8">
        <v>527.9</v>
      </c>
      <c r="B211" t="s">
        <v>249</v>
      </c>
      <c r="C211" s="9" t="s">
        <v>40</v>
      </c>
      <c r="D211" s="58">
        <v>3</v>
      </c>
      <c r="G211" t="s">
        <v>155</v>
      </c>
      <c r="H211" s="57">
        <v>0.19700000000000001</v>
      </c>
      <c r="I211" s="57">
        <v>0.19700000000000001</v>
      </c>
      <c r="J211" s="56">
        <v>-275.56</v>
      </c>
      <c r="K211" s="56">
        <v>-80.900000000000006</v>
      </c>
      <c r="L211" s="56">
        <v>0</v>
      </c>
      <c r="M211" s="56">
        <v>0</v>
      </c>
      <c r="N211" s="56">
        <v>0</v>
      </c>
      <c r="O211" s="56">
        <v>0</v>
      </c>
      <c r="P211" s="56">
        <v>0</v>
      </c>
      <c r="Q211" s="56">
        <v>0</v>
      </c>
      <c r="R211" s="56">
        <v>0</v>
      </c>
      <c r="S211" s="56">
        <v>0</v>
      </c>
      <c r="T211" s="56">
        <v>0</v>
      </c>
      <c r="U211" s="56">
        <v>0</v>
      </c>
      <c r="V211" s="146">
        <v>0</v>
      </c>
      <c r="W211" s="146"/>
      <c r="X211" s="139"/>
      <c r="Y211" s="146"/>
      <c r="AC211" s="139"/>
      <c r="AR211" s="56"/>
    </row>
    <row r="212" spans="1:44" x14ac:dyDescent="0.25">
      <c r="A212" s="8">
        <v>531.1</v>
      </c>
      <c r="B212" t="s">
        <v>174</v>
      </c>
      <c r="C212" t="s">
        <v>214</v>
      </c>
      <c r="D212" s="58">
        <v>3</v>
      </c>
      <c r="G212" t="s">
        <v>155</v>
      </c>
      <c r="H212" s="57">
        <v>1.4E-2</v>
      </c>
      <c r="I212" s="57">
        <v>1.4E-2</v>
      </c>
      <c r="J212" s="56">
        <v>0</v>
      </c>
      <c r="K212" s="56">
        <v>0</v>
      </c>
      <c r="L212" s="56">
        <v>0</v>
      </c>
      <c r="M212" s="56">
        <v>0</v>
      </c>
      <c r="N212" s="56">
        <v>0</v>
      </c>
      <c r="O212" s="56">
        <v>0</v>
      </c>
      <c r="P212" s="56">
        <v>0</v>
      </c>
      <c r="Q212" s="56">
        <v>0</v>
      </c>
      <c r="R212" s="56">
        <v>0</v>
      </c>
      <c r="S212" s="56">
        <v>0</v>
      </c>
      <c r="T212" s="56">
        <v>0</v>
      </c>
      <c r="U212" s="56">
        <v>-24.58</v>
      </c>
      <c r="V212" s="146">
        <v>0</v>
      </c>
      <c r="W212" s="146"/>
      <c r="X212" s="139"/>
      <c r="Y212" s="146"/>
      <c r="AC212" s="139"/>
      <c r="AR212" s="56"/>
    </row>
    <row r="213" spans="1:44" x14ac:dyDescent="0.25">
      <c r="A213" s="8">
        <v>538.1</v>
      </c>
      <c r="B213" t="s">
        <v>320</v>
      </c>
      <c r="C213" t="s">
        <v>214</v>
      </c>
      <c r="D213" s="58">
        <v>3</v>
      </c>
      <c r="V213" s="146">
        <v>0</v>
      </c>
      <c r="W213" s="146"/>
      <c r="X213" s="139"/>
      <c r="Y213" s="146"/>
      <c r="AC213" s="139"/>
      <c r="AR213" s="56"/>
    </row>
    <row r="214" spans="1:44" x14ac:dyDescent="0.25">
      <c r="A214" s="8">
        <v>538.20000000000005</v>
      </c>
      <c r="B214" t="s">
        <v>175</v>
      </c>
      <c r="C214" t="s">
        <v>214</v>
      </c>
      <c r="D214" s="58">
        <v>3</v>
      </c>
      <c r="G214" t="s">
        <v>155</v>
      </c>
      <c r="H214" s="57">
        <v>1.8000000000000002E-2</v>
      </c>
      <c r="I214" s="57">
        <v>1.8000000000000002E-2</v>
      </c>
      <c r="J214" s="56">
        <v>0</v>
      </c>
      <c r="K214" s="56">
        <v>0</v>
      </c>
      <c r="L214" s="56">
        <v>0</v>
      </c>
      <c r="M214" s="56">
        <v>0</v>
      </c>
      <c r="N214" s="56">
        <v>0</v>
      </c>
      <c r="O214" s="56">
        <v>-33</v>
      </c>
      <c r="P214" s="56">
        <v>0</v>
      </c>
      <c r="Q214" s="56">
        <v>0</v>
      </c>
      <c r="R214" s="56">
        <v>0</v>
      </c>
      <c r="S214" s="56">
        <v>0</v>
      </c>
      <c r="T214" s="56">
        <v>0</v>
      </c>
      <c r="U214" s="56">
        <v>0</v>
      </c>
      <c r="V214" s="146">
        <v>0</v>
      </c>
      <c r="W214" s="146"/>
      <c r="X214" s="139"/>
      <c r="Y214" s="146"/>
      <c r="AC214" s="139"/>
      <c r="AR214" s="56"/>
    </row>
    <row r="215" spans="1:44" x14ac:dyDescent="0.25">
      <c r="A215" s="8">
        <v>545.1</v>
      </c>
      <c r="B215" t="s">
        <v>269</v>
      </c>
      <c r="C215" t="s">
        <v>214</v>
      </c>
      <c r="D215" s="58">
        <v>3</v>
      </c>
      <c r="V215" s="146">
        <v>0</v>
      </c>
      <c r="W215" s="146"/>
      <c r="X215" s="139"/>
      <c r="Y215" s="146"/>
      <c r="AC215" s="139"/>
      <c r="AR215" s="56"/>
    </row>
    <row r="216" spans="1:44" x14ac:dyDescent="0.25">
      <c r="A216" s="8">
        <v>546.1</v>
      </c>
      <c r="B216" t="s">
        <v>270</v>
      </c>
      <c r="C216" t="s">
        <v>214</v>
      </c>
      <c r="D216" s="58">
        <v>3</v>
      </c>
      <c r="V216" s="146">
        <v>0</v>
      </c>
      <c r="W216" s="146"/>
      <c r="X216" s="139"/>
      <c r="Y216" s="146">
        <v>-1252.05</v>
      </c>
      <c r="AC216" s="139"/>
      <c r="AE216" s="56">
        <v>-135.80000000000001</v>
      </c>
      <c r="AI216" s="139">
        <v>-48</v>
      </c>
      <c r="AR216" s="56"/>
    </row>
    <row r="217" spans="1:44" x14ac:dyDescent="0.25">
      <c r="A217" s="8">
        <v>546.20000000000005</v>
      </c>
      <c r="B217" t="s">
        <v>271</v>
      </c>
      <c r="C217" t="s">
        <v>214</v>
      </c>
      <c r="D217" s="58">
        <v>3</v>
      </c>
      <c r="V217" s="146">
        <v>0</v>
      </c>
      <c r="W217" s="146"/>
      <c r="X217" s="139"/>
      <c r="Y217" s="146">
        <v>-421.74</v>
      </c>
      <c r="AC217" s="139"/>
      <c r="AR217" s="56"/>
    </row>
    <row r="218" spans="1:44" x14ac:dyDescent="0.25">
      <c r="A218" s="8">
        <v>546.5</v>
      </c>
      <c r="B218" t="s">
        <v>254</v>
      </c>
      <c r="C218" t="s">
        <v>214</v>
      </c>
      <c r="D218" s="58">
        <v>3</v>
      </c>
      <c r="V218" s="146">
        <v>0</v>
      </c>
      <c r="W218" s="146"/>
      <c r="X218" s="139"/>
      <c r="Y218" s="146">
        <v>-283</v>
      </c>
      <c r="AC218" s="139"/>
      <c r="AR218" s="56"/>
    </row>
    <row r="219" spans="1:44" x14ac:dyDescent="0.25">
      <c r="A219" s="138">
        <v>547.1</v>
      </c>
      <c r="B219" t="s">
        <v>236</v>
      </c>
      <c r="C219" t="s">
        <v>214</v>
      </c>
      <c r="D219" s="58">
        <v>3</v>
      </c>
      <c r="V219" s="146">
        <v>0</v>
      </c>
      <c r="W219" s="146"/>
      <c r="X219" s="139"/>
      <c r="Y219" s="146"/>
      <c r="AC219" s="139"/>
      <c r="AR219" s="56"/>
    </row>
    <row r="220" spans="1:44" x14ac:dyDescent="0.25">
      <c r="A220" s="138">
        <v>548.1</v>
      </c>
      <c r="B220" t="s">
        <v>144</v>
      </c>
      <c r="C220" t="s">
        <v>214</v>
      </c>
      <c r="D220" s="58">
        <v>3</v>
      </c>
      <c r="G220" t="s">
        <v>155</v>
      </c>
      <c r="H220" s="57">
        <v>7.8E-2</v>
      </c>
      <c r="I220" s="57">
        <v>7.8E-2</v>
      </c>
      <c r="J220" s="56">
        <v>-40.47</v>
      </c>
      <c r="K220" s="56">
        <v>0</v>
      </c>
      <c r="L220" s="56">
        <v>0</v>
      </c>
      <c r="M220" s="56">
        <v>-101.55</v>
      </c>
      <c r="N220" s="56">
        <v>0</v>
      </c>
      <c r="O220" s="56">
        <v>0</v>
      </c>
      <c r="P220" s="56">
        <v>0</v>
      </c>
      <c r="Q220" s="56">
        <v>0</v>
      </c>
      <c r="R220" s="56">
        <v>0</v>
      </c>
      <c r="S220" s="56">
        <v>0</v>
      </c>
      <c r="T220" s="56">
        <v>0</v>
      </c>
      <c r="U220" s="56">
        <v>0</v>
      </c>
      <c r="V220" s="146">
        <v>0</v>
      </c>
      <c r="W220" s="146"/>
      <c r="X220" s="139"/>
      <c r="Y220" s="146"/>
      <c r="AC220" s="139"/>
      <c r="AR220" s="56"/>
    </row>
    <row r="221" spans="1:44" x14ac:dyDescent="0.25">
      <c r="A221" s="138">
        <v>548.20000000000005</v>
      </c>
      <c r="B221" t="s">
        <v>237</v>
      </c>
      <c r="C221" t="s">
        <v>214</v>
      </c>
      <c r="D221" s="58">
        <v>3</v>
      </c>
      <c r="V221" s="146">
        <v>0</v>
      </c>
      <c r="W221" s="146"/>
      <c r="X221" s="139"/>
      <c r="Y221" s="146">
        <v>0.01</v>
      </c>
      <c r="AA221" s="139">
        <v>-0.9</v>
      </c>
      <c r="AC221" s="139"/>
      <c r="AG221" s="139">
        <v>0.06</v>
      </c>
      <c r="AH221" s="56"/>
      <c r="AJ221" s="56"/>
      <c r="AL221" s="56"/>
      <c r="AN221" s="56"/>
      <c r="AR221" s="56"/>
    </row>
    <row r="222" spans="1:44" x14ac:dyDescent="0.25">
      <c r="A222" s="138">
        <v>548.9</v>
      </c>
      <c r="B222" t="s">
        <v>238</v>
      </c>
      <c r="C222" t="s">
        <v>214</v>
      </c>
      <c r="D222" s="58">
        <v>3</v>
      </c>
      <c r="V222" s="146">
        <v>0</v>
      </c>
      <c r="W222" s="146"/>
      <c r="X222" s="139"/>
      <c r="Y222" s="146"/>
      <c r="AC222" s="139"/>
      <c r="AR222" s="56"/>
    </row>
    <row r="223" spans="1:44" x14ac:dyDescent="0.25">
      <c r="A223" s="138">
        <v>549.1</v>
      </c>
      <c r="B223" t="s">
        <v>297</v>
      </c>
      <c r="C223" t="s">
        <v>214</v>
      </c>
      <c r="D223" s="58">
        <v>3</v>
      </c>
      <c r="V223" s="146">
        <v>0</v>
      </c>
      <c r="W223" s="146"/>
      <c r="X223" s="139"/>
      <c r="Y223" s="146"/>
      <c r="AC223" s="139"/>
      <c r="AR223" s="56"/>
    </row>
    <row r="224" spans="1:44" x14ac:dyDescent="0.25">
      <c r="A224" s="138">
        <v>551.1</v>
      </c>
      <c r="B224" t="s">
        <v>239</v>
      </c>
      <c r="C224" t="s">
        <v>214</v>
      </c>
      <c r="D224" s="58">
        <v>3</v>
      </c>
      <c r="V224" s="146">
        <v>0</v>
      </c>
      <c r="W224" s="146"/>
      <c r="X224" s="139"/>
      <c r="Y224" s="146">
        <v>-210.39</v>
      </c>
      <c r="AC224" s="139"/>
      <c r="AR224" s="56"/>
    </row>
    <row r="225" spans="1:44" x14ac:dyDescent="0.25">
      <c r="A225" s="138">
        <v>551.11</v>
      </c>
      <c r="B225" t="s">
        <v>240</v>
      </c>
      <c r="C225" t="s">
        <v>214</v>
      </c>
      <c r="D225" s="58">
        <v>3</v>
      </c>
      <c r="V225" s="146">
        <v>0</v>
      </c>
      <c r="W225" s="146"/>
      <c r="X225" s="139"/>
      <c r="Y225" s="146"/>
      <c r="AC225" s="139"/>
      <c r="AR225" s="56"/>
    </row>
    <row r="226" spans="1:44" x14ac:dyDescent="0.25">
      <c r="A226" s="138">
        <v>568.1</v>
      </c>
      <c r="B226" t="s">
        <v>114</v>
      </c>
      <c r="C226" t="s">
        <v>214</v>
      </c>
      <c r="D226" s="58">
        <v>3</v>
      </c>
      <c r="G226" t="s">
        <v>155</v>
      </c>
      <c r="H226" s="57">
        <v>0.16800000000000001</v>
      </c>
      <c r="I226" s="57">
        <v>0.16800000000000001</v>
      </c>
      <c r="J226" s="56">
        <v>-43</v>
      </c>
      <c r="K226" s="56">
        <v>-43</v>
      </c>
      <c r="L226" s="56">
        <v>-23</v>
      </c>
      <c r="M226" s="56">
        <v>-19</v>
      </c>
      <c r="N226" s="56">
        <v>-19</v>
      </c>
      <c r="O226" s="56">
        <v>-21</v>
      </c>
      <c r="P226" s="56">
        <v>-19</v>
      </c>
      <c r="Q226" s="56">
        <v>-19</v>
      </c>
      <c r="R226" s="56">
        <v>-23</v>
      </c>
      <c r="S226" s="56">
        <v>-31</v>
      </c>
      <c r="T226" s="56">
        <v>-23</v>
      </c>
      <c r="U226" s="56">
        <v>-21</v>
      </c>
      <c r="V226" s="146">
        <v>-19</v>
      </c>
      <c r="W226" s="146"/>
      <c r="X226" s="139"/>
      <c r="Y226" s="146"/>
      <c r="AC226" s="139"/>
      <c r="AR226" s="56"/>
    </row>
    <row r="227" spans="1:44" x14ac:dyDescent="0.25">
      <c r="A227" s="8">
        <v>602</v>
      </c>
      <c r="B227" t="s">
        <v>176</v>
      </c>
      <c r="C227" t="s">
        <v>225</v>
      </c>
      <c r="D227" s="58">
        <v>3</v>
      </c>
      <c r="G227" t="s">
        <v>177</v>
      </c>
      <c r="H227" s="57">
        <v>-0.05</v>
      </c>
      <c r="I227" s="57">
        <v>-0.05</v>
      </c>
      <c r="J227" s="56">
        <v>0</v>
      </c>
      <c r="K227" s="56">
        <v>0</v>
      </c>
      <c r="L227" s="56">
        <v>0</v>
      </c>
      <c r="M227" s="56">
        <v>0</v>
      </c>
      <c r="N227" s="56">
        <v>0</v>
      </c>
      <c r="O227" s="56">
        <v>0</v>
      </c>
      <c r="P227" s="56">
        <v>0</v>
      </c>
      <c r="Q227" s="56">
        <v>0</v>
      </c>
      <c r="R227" s="56">
        <v>0</v>
      </c>
      <c r="S227" s="56">
        <v>0</v>
      </c>
      <c r="T227" s="56">
        <v>-123.33</v>
      </c>
      <c r="U227" s="56">
        <v>0</v>
      </c>
      <c r="V227" s="146">
        <v>0</v>
      </c>
      <c r="W227" s="146"/>
      <c r="X227" s="139"/>
      <c r="Y227" s="146"/>
      <c r="AC227" s="139"/>
      <c r="AR227" s="56"/>
    </row>
    <row r="228" spans="1:44" x14ac:dyDescent="0.25">
      <c r="A228" s="8">
        <v>602.21</v>
      </c>
      <c r="B228" t="s">
        <v>178</v>
      </c>
      <c r="C228" t="s">
        <v>225</v>
      </c>
      <c r="D228" s="58">
        <v>3</v>
      </c>
      <c r="G228" t="s">
        <v>177</v>
      </c>
      <c r="H228" s="57">
        <v>11.544</v>
      </c>
      <c r="I228" s="57">
        <v>11.544</v>
      </c>
      <c r="J228" s="56">
        <v>0</v>
      </c>
      <c r="K228" s="56">
        <v>0</v>
      </c>
      <c r="L228" s="56">
        <v>0</v>
      </c>
      <c r="M228" s="56">
        <v>0</v>
      </c>
      <c r="N228" s="56">
        <v>0</v>
      </c>
      <c r="O228" s="56">
        <v>0</v>
      </c>
      <c r="P228" s="56">
        <v>0</v>
      </c>
      <c r="Q228" s="56">
        <v>28762.42</v>
      </c>
      <c r="R228" s="56">
        <v>0</v>
      </c>
      <c r="S228" s="56">
        <v>0</v>
      </c>
      <c r="T228" s="56">
        <v>0</v>
      </c>
      <c r="U228" s="56">
        <v>0</v>
      </c>
      <c r="V228" s="146">
        <v>0</v>
      </c>
      <c r="W228" s="146"/>
      <c r="X228" s="139"/>
      <c r="Y228" s="146"/>
      <c r="AC228" s="139"/>
      <c r="AR228" s="56"/>
    </row>
    <row r="229" spans="1:44" x14ac:dyDescent="0.25">
      <c r="A229" s="8">
        <v>602.22</v>
      </c>
      <c r="B229" t="s">
        <v>179</v>
      </c>
      <c r="C229" t="s">
        <v>225</v>
      </c>
      <c r="D229" s="58">
        <v>3</v>
      </c>
      <c r="G229" t="s">
        <v>177</v>
      </c>
      <c r="H229" s="57">
        <v>0.67600000000000005</v>
      </c>
      <c r="I229" s="57">
        <v>0.67600000000000005</v>
      </c>
      <c r="J229" s="56">
        <v>188</v>
      </c>
      <c r="K229" s="56">
        <v>362.7</v>
      </c>
      <c r="L229" s="56">
        <v>370.58</v>
      </c>
      <c r="M229" s="56">
        <v>0</v>
      </c>
      <c r="N229" s="56">
        <v>150</v>
      </c>
      <c r="O229" s="56">
        <v>63</v>
      </c>
      <c r="P229" s="56">
        <v>50</v>
      </c>
      <c r="Q229" s="56">
        <v>75</v>
      </c>
      <c r="R229" s="56">
        <v>25</v>
      </c>
      <c r="S229" s="56">
        <v>188</v>
      </c>
      <c r="T229" s="56">
        <v>138</v>
      </c>
      <c r="U229" s="56">
        <v>75</v>
      </c>
      <c r="V229" s="146">
        <v>0</v>
      </c>
      <c r="W229" s="146"/>
      <c r="X229" s="139"/>
      <c r="Y229" s="146"/>
      <c r="AC229" s="139"/>
      <c r="AR229" s="56"/>
    </row>
    <row r="230" spans="1:44" x14ac:dyDescent="0.25">
      <c r="A230" s="8">
        <v>602.28</v>
      </c>
      <c r="B230" t="s">
        <v>180</v>
      </c>
      <c r="C230" t="s">
        <v>225</v>
      </c>
      <c r="D230" s="58">
        <v>3</v>
      </c>
      <c r="G230" t="s">
        <v>177</v>
      </c>
      <c r="H230" s="57">
        <v>1.2090000000000001</v>
      </c>
      <c r="I230" s="57">
        <v>1.2090000000000001</v>
      </c>
      <c r="J230" s="56">
        <v>0</v>
      </c>
      <c r="K230" s="56">
        <v>0</v>
      </c>
      <c r="L230" s="56">
        <v>0</v>
      </c>
      <c r="M230" s="56">
        <v>0</v>
      </c>
      <c r="N230" s="56">
        <v>0</v>
      </c>
      <c r="O230" s="56">
        <v>0</v>
      </c>
      <c r="P230" s="56">
        <v>0</v>
      </c>
      <c r="Q230" s="56">
        <v>0</v>
      </c>
      <c r="R230" s="56">
        <v>0</v>
      </c>
      <c r="S230" s="56">
        <v>3012.34</v>
      </c>
      <c r="T230" s="56">
        <v>0</v>
      </c>
      <c r="U230" s="56">
        <v>0</v>
      </c>
      <c r="V230" s="146">
        <v>0</v>
      </c>
      <c r="W230" s="146"/>
      <c r="X230" s="139"/>
      <c r="Y230" s="146"/>
      <c r="AC230" s="139"/>
      <c r="AR230" s="56"/>
    </row>
    <row r="231" spans="1:44" x14ac:dyDescent="0.25">
      <c r="A231" s="8">
        <v>602.29999999999995</v>
      </c>
      <c r="B231" t="s">
        <v>115</v>
      </c>
      <c r="C231" t="s">
        <v>115</v>
      </c>
      <c r="D231" s="58">
        <v>3</v>
      </c>
      <c r="G231" t="s">
        <v>177</v>
      </c>
      <c r="H231" s="57">
        <v>84.805999999999997</v>
      </c>
      <c r="I231" s="57">
        <v>84.805999999999997</v>
      </c>
      <c r="J231" s="56">
        <v>8749.32</v>
      </c>
      <c r="K231" s="56">
        <v>3181.01</v>
      </c>
      <c r="L231" s="56">
        <v>1025.07</v>
      </c>
      <c r="M231" s="56">
        <v>4086.74</v>
      </c>
      <c r="N231" s="56">
        <v>27608.43</v>
      </c>
      <c r="O231" s="56">
        <v>17941.68</v>
      </c>
      <c r="P231" s="56">
        <v>0</v>
      </c>
      <c r="Q231" s="56">
        <v>0</v>
      </c>
      <c r="R231" s="56">
        <v>9209.35</v>
      </c>
      <c r="S231" s="56">
        <v>15861.06</v>
      </c>
      <c r="T231" s="56">
        <v>92900.43</v>
      </c>
      <c r="U231" s="56">
        <v>30727.14</v>
      </c>
      <c r="V231" s="146">
        <v>211166.9</v>
      </c>
      <c r="W231" s="146"/>
      <c r="X231" s="139"/>
      <c r="Y231" s="146">
        <v>253792.27</v>
      </c>
      <c r="AA231" s="139">
        <v>242710.76</v>
      </c>
      <c r="AC231" s="139">
        <v>145714.09</v>
      </c>
      <c r="AE231" s="139">
        <v>215145.04</v>
      </c>
      <c r="AG231" s="139">
        <v>234134.47</v>
      </c>
      <c r="AI231" s="139">
        <v>277728.43</v>
      </c>
      <c r="AK231" s="139">
        <v>288671.90999999997</v>
      </c>
      <c r="AR231" s="56"/>
    </row>
    <row r="232" spans="1:44" x14ac:dyDescent="0.25">
      <c r="A232" s="8">
        <v>602.4</v>
      </c>
      <c r="B232" t="s">
        <v>181</v>
      </c>
      <c r="C232" t="s">
        <v>227</v>
      </c>
      <c r="D232" s="58">
        <v>3</v>
      </c>
      <c r="G232" t="s">
        <v>177</v>
      </c>
      <c r="H232" s="57">
        <v>0.251</v>
      </c>
      <c r="I232" s="57">
        <v>0.251</v>
      </c>
      <c r="J232" s="56">
        <v>0</v>
      </c>
      <c r="K232" s="56">
        <v>0</v>
      </c>
      <c r="L232" s="56">
        <v>0</v>
      </c>
      <c r="M232" s="56">
        <v>0</v>
      </c>
      <c r="N232" s="56">
        <v>0</v>
      </c>
      <c r="O232" s="56">
        <v>0</v>
      </c>
      <c r="P232" s="56">
        <v>0</v>
      </c>
      <c r="Q232" s="56">
        <v>0</v>
      </c>
      <c r="R232" s="56">
        <v>0</v>
      </c>
      <c r="S232" s="56">
        <v>0</v>
      </c>
      <c r="T232" s="56">
        <v>0</v>
      </c>
      <c r="U232" s="56">
        <v>624.75</v>
      </c>
      <c r="V232" s="146">
        <v>624.75</v>
      </c>
      <c r="W232" s="146"/>
      <c r="X232" s="139"/>
      <c r="Y232" s="146">
        <v>183.75</v>
      </c>
      <c r="AC232" s="139"/>
      <c r="AI232" s="139">
        <v>2021.7</v>
      </c>
      <c r="AK232" s="139">
        <v>2075</v>
      </c>
      <c r="AR232" s="56"/>
    </row>
    <row r="233" spans="1:44" x14ac:dyDescent="0.25">
      <c r="A233" s="8">
        <v>602.6</v>
      </c>
      <c r="B233" t="s">
        <v>299</v>
      </c>
      <c r="C233" t="s">
        <v>227</v>
      </c>
      <c r="D233" s="58">
        <v>3</v>
      </c>
      <c r="V233" s="146">
        <v>0</v>
      </c>
      <c r="W233" s="146"/>
      <c r="X233" s="139"/>
      <c r="Y233" s="146"/>
      <c r="AC233" s="139"/>
      <c r="AE233" s="139">
        <v>1762</v>
      </c>
      <c r="AG233" s="139">
        <v>1651</v>
      </c>
      <c r="AI233" s="139">
        <v>217.42</v>
      </c>
      <c r="AR233" s="56"/>
    </row>
    <row r="234" spans="1:44" x14ac:dyDescent="0.25">
      <c r="A234" s="8">
        <v>602.79999999999995</v>
      </c>
      <c r="B234" t="s">
        <v>279</v>
      </c>
      <c r="C234" t="s">
        <v>225</v>
      </c>
      <c r="D234" s="58">
        <v>3</v>
      </c>
      <c r="V234" s="146">
        <v>0</v>
      </c>
      <c r="W234" s="146"/>
      <c r="X234" s="139"/>
      <c r="Y234" s="146"/>
      <c r="AA234" s="139">
        <v>458.16</v>
      </c>
      <c r="AC234" s="139"/>
      <c r="AR234" s="56"/>
    </row>
    <row r="235" spans="1:44" x14ac:dyDescent="0.25">
      <c r="A235" s="8">
        <v>602.9</v>
      </c>
      <c r="B235" t="s">
        <v>250</v>
      </c>
      <c r="C235" t="s">
        <v>115</v>
      </c>
      <c r="D235" s="58">
        <v>3</v>
      </c>
      <c r="V235" s="146">
        <v>0</v>
      </c>
      <c r="W235" s="146"/>
      <c r="X235" s="139"/>
      <c r="Y235" s="146">
        <v>-543.35</v>
      </c>
      <c r="AC235" s="139"/>
      <c r="AG235" s="139">
        <v>-70</v>
      </c>
      <c r="AK235" s="139">
        <v>-150</v>
      </c>
      <c r="AR235" s="56"/>
    </row>
    <row r="236" spans="1:44" x14ac:dyDescent="0.25">
      <c r="A236" s="8">
        <v>604.1</v>
      </c>
      <c r="B236" t="s">
        <v>255</v>
      </c>
      <c r="C236" t="s">
        <v>274</v>
      </c>
      <c r="D236" s="58">
        <v>3</v>
      </c>
      <c r="V236" s="146">
        <v>0</v>
      </c>
      <c r="W236" s="146"/>
      <c r="X236" s="139"/>
      <c r="Y236" s="146">
        <v>10431.56</v>
      </c>
      <c r="AA236" s="139">
        <v>22648.89</v>
      </c>
      <c r="AC236" s="139">
        <v>12273.92</v>
      </c>
      <c r="AE236" s="139">
        <v>10263.4</v>
      </c>
      <c r="AG236" s="139">
        <v>6021.27</v>
      </c>
      <c r="AH236" s="56"/>
      <c r="AI236" s="139">
        <v>5604.07</v>
      </c>
      <c r="AJ236" s="56"/>
      <c r="AK236" s="139">
        <v>8369.34</v>
      </c>
      <c r="AL236" s="56"/>
      <c r="AN236" s="56"/>
      <c r="AR236" s="56"/>
    </row>
    <row r="237" spans="1:44" x14ac:dyDescent="0.25">
      <c r="A237" s="8">
        <v>644.1</v>
      </c>
      <c r="B237" t="s">
        <v>313</v>
      </c>
      <c r="C237" t="s">
        <v>225</v>
      </c>
      <c r="D237" s="58">
        <v>3</v>
      </c>
      <c r="V237" s="146">
        <v>0</v>
      </c>
      <c r="W237" s="146"/>
      <c r="X237" s="139"/>
      <c r="Y237" s="146"/>
      <c r="AC237" s="139"/>
      <c r="AH237" s="56"/>
      <c r="AJ237" s="56"/>
      <c r="AL237" s="56"/>
      <c r="AN237" s="56"/>
      <c r="AR237" s="56"/>
    </row>
    <row r="238" spans="1:44" x14ac:dyDescent="0.25">
      <c r="A238" s="8">
        <v>646.1</v>
      </c>
      <c r="B238" t="s">
        <v>312</v>
      </c>
      <c r="C238" t="s">
        <v>225</v>
      </c>
      <c r="D238" s="58">
        <v>3</v>
      </c>
      <c r="V238" s="146">
        <v>0</v>
      </c>
      <c r="W238" s="146"/>
      <c r="X238" s="139"/>
      <c r="Y238" s="146"/>
      <c r="AC238" s="139"/>
      <c r="AH238" s="56"/>
      <c r="AJ238" s="56"/>
      <c r="AL238" s="56"/>
      <c r="AN238" s="56"/>
      <c r="AR238" s="56"/>
    </row>
    <row r="239" spans="1:44" x14ac:dyDescent="0.25">
      <c r="A239" s="8">
        <v>648.1</v>
      </c>
      <c r="B239" t="s">
        <v>182</v>
      </c>
      <c r="C239" t="s">
        <v>225</v>
      </c>
      <c r="D239" s="58">
        <v>3</v>
      </c>
      <c r="G239" t="s">
        <v>177</v>
      </c>
      <c r="H239" s="57">
        <v>1.405</v>
      </c>
      <c r="I239" s="57">
        <v>1.405</v>
      </c>
      <c r="J239" s="56">
        <v>0</v>
      </c>
      <c r="K239" s="56">
        <v>0</v>
      </c>
      <c r="L239" s="56">
        <v>0</v>
      </c>
      <c r="M239" s="56">
        <v>0</v>
      </c>
      <c r="N239" s="56">
        <v>0</v>
      </c>
      <c r="O239" s="56">
        <v>0</v>
      </c>
      <c r="P239" s="56">
        <v>0</v>
      </c>
      <c r="Q239" s="56">
        <v>0</v>
      </c>
      <c r="R239" s="56">
        <v>3500</v>
      </c>
      <c r="S239" s="56">
        <v>0</v>
      </c>
      <c r="T239" s="56">
        <v>0</v>
      </c>
      <c r="U239" s="56">
        <v>0</v>
      </c>
      <c r="V239" s="146">
        <v>0</v>
      </c>
      <c r="W239" s="146"/>
      <c r="X239" s="139"/>
      <c r="Y239" s="146">
        <v>3000</v>
      </c>
      <c r="AC239" s="139"/>
    </row>
    <row r="240" spans="1:44" x14ac:dyDescent="0.25">
      <c r="A240" s="8">
        <v>648.20000000000005</v>
      </c>
      <c r="B240" t="s">
        <v>116</v>
      </c>
      <c r="C240" t="s">
        <v>225</v>
      </c>
      <c r="D240" s="58">
        <v>3</v>
      </c>
      <c r="G240" t="s">
        <v>177</v>
      </c>
      <c r="H240" s="57">
        <v>1E-3</v>
      </c>
      <c r="I240" s="57">
        <v>1E-3</v>
      </c>
      <c r="J240" s="56">
        <v>-0.05</v>
      </c>
      <c r="K240" s="56">
        <v>0</v>
      </c>
      <c r="L240" s="56">
        <v>0</v>
      </c>
      <c r="M240" s="56">
        <v>3.01</v>
      </c>
      <c r="N240" s="56">
        <v>-0.01</v>
      </c>
      <c r="O240" s="56">
        <v>0</v>
      </c>
      <c r="P240" s="56">
        <v>0</v>
      </c>
      <c r="Q240" s="56">
        <v>0</v>
      </c>
      <c r="R240" s="56">
        <v>0</v>
      </c>
      <c r="S240" s="56">
        <v>0</v>
      </c>
      <c r="T240" s="56">
        <v>-0.03</v>
      </c>
      <c r="U240" s="56">
        <v>0</v>
      </c>
      <c r="V240" s="146">
        <v>-0.08</v>
      </c>
      <c r="W240" s="146"/>
      <c r="X240" s="139"/>
      <c r="Y240" s="146">
        <v>-0.11</v>
      </c>
      <c r="AA240" s="139">
        <v>0.03</v>
      </c>
      <c r="AC240" s="139">
        <v>0.08</v>
      </c>
      <c r="AH240" s="56"/>
      <c r="AI240" s="139">
        <v>0.01</v>
      </c>
      <c r="AJ240" s="56"/>
      <c r="AL240" s="56"/>
      <c r="AN240" s="56"/>
    </row>
    <row r="241" spans="1:45" x14ac:dyDescent="0.25">
      <c r="A241" s="8">
        <v>648.29999999999995</v>
      </c>
      <c r="B241" t="s">
        <v>183</v>
      </c>
      <c r="C241" t="s">
        <v>225</v>
      </c>
      <c r="D241" s="58">
        <v>3</v>
      </c>
      <c r="G241" t="s">
        <v>177</v>
      </c>
      <c r="H241" s="57">
        <v>0.158</v>
      </c>
      <c r="I241" s="57">
        <v>0.158</v>
      </c>
      <c r="J241" s="56">
        <v>0</v>
      </c>
      <c r="K241" s="56">
        <v>0</v>
      </c>
      <c r="L241" s="56">
        <v>0</v>
      </c>
      <c r="M241" s="56">
        <v>0</v>
      </c>
      <c r="N241" s="56">
        <v>0</v>
      </c>
      <c r="O241" s="56">
        <v>0</v>
      </c>
      <c r="P241" s="56">
        <v>0</v>
      </c>
      <c r="Q241" s="56">
        <v>0</v>
      </c>
      <c r="R241" s="56">
        <v>0</v>
      </c>
      <c r="S241" s="56">
        <v>144</v>
      </c>
      <c r="T241" s="56">
        <v>249</v>
      </c>
      <c r="U241" s="56">
        <v>0</v>
      </c>
      <c r="V241" s="146">
        <v>0</v>
      </c>
      <c r="W241" s="146"/>
      <c r="X241" s="139"/>
      <c r="Y241" s="146"/>
      <c r="AC241" s="139"/>
    </row>
    <row r="242" spans="1:45" x14ac:dyDescent="0.25">
      <c r="A242" s="8">
        <v>648.4</v>
      </c>
      <c r="B242" t="s">
        <v>295</v>
      </c>
      <c r="C242" t="s">
        <v>225</v>
      </c>
      <c r="D242" s="58">
        <v>3</v>
      </c>
      <c r="V242" s="146">
        <v>0</v>
      </c>
      <c r="W242" s="146"/>
      <c r="X242" s="139"/>
      <c r="Y242" s="146"/>
      <c r="AC242" s="139"/>
    </row>
    <row r="243" spans="1:45" x14ac:dyDescent="0.25">
      <c r="A243" s="8">
        <v>648.79999999999995</v>
      </c>
      <c r="B243" t="s">
        <v>290</v>
      </c>
      <c r="C243" t="s">
        <v>225</v>
      </c>
      <c r="D243" s="58">
        <v>3</v>
      </c>
      <c r="V243" s="146">
        <v>0</v>
      </c>
      <c r="W243" s="146"/>
      <c r="X243" s="139"/>
      <c r="Y243" s="146"/>
      <c r="AC243" s="139"/>
      <c r="AR243" s="56"/>
      <c r="AS243" s="56"/>
    </row>
    <row r="244" spans="1:45" x14ac:dyDescent="0.25">
      <c r="A244" s="8">
        <v>648.80999999999995</v>
      </c>
      <c r="B244" t="s">
        <v>291</v>
      </c>
      <c r="C244" t="s">
        <v>225</v>
      </c>
      <c r="D244" s="58">
        <v>3</v>
      </c>
      <c r="V244" s="146">
        <v>0</v>
      </c>
      <c r="W244" s="146"/>
      <c r="X244" s="139"/>
      <c r="Y244" s="146"/>
      <c r="AC244" s="139"/>
      <c r="AR244" s="56"/>
      <c r="AS244" s="56"/>
    </row>
    <row r="245" spans="1:45" x14ac:dyDescent="0.25">
      <c r="A245" s="8">
        <v>648.82000000000005</v>
      </c>
      <c r="B245" t="s">
        <v>306</v>
      </c>
      <c r="C245" t="s">
        <v>225</v>
      </c>
      <c r="D245" s="58">
        <v>3</v>
      </c>
      <c r="V245" s="146">
        <v>0</v>
      </c>
      <c r="W245" s="146"/>
      <c r="X245" s="139"/>
      <c r="Y245" s="146"/>
      <c r="AC245" s="139"/>
      <c r="AR245" s="56"/>
      <c r="AS245" s="56"/>
    </row>
    <row r="246" spans="1:45" x14ac:dyDescent="0.25">
      <c r="A246" s="138">
        <v>648.9</v>
      </c>
      <c r="B246" t="s">
        <v>241</v>
      </c>
      <c r="C246" t="s">
        <v>225</v>
      </c>
      <c r="D246" s="58">
        <v>3</v>
      </c>
      <c r="V246" s="146">
        <v>0</v>
      </c>
      <c r="W246" s="146"/>
      <c r="X246" s="139"/>
      <c r="Y246" s="146"/>
      <c r="AC246" s="139"/>
    </row>
    <row r="247" spans="1:45" x14ac:dyDescent="0.25">
      <c r="A247" s="138">
        <v>662.1</v>
      </c>
      <c r="B247" t="s">
        <v>314</v>
      </c>
      <c r="C247" t="s">
        <v>225</v>
      </c>
      <c r="D247" s="58">
        <v>3</v>
      </c>
      <c r="V247" s="146">
        <v>0</v>
      </c>
      <c r="W247" s="146"/>
      <c r="X247" s="139"/>
      <c r="Y247" s="146"/>
      <c r="AC247" s="139"/>
    </row>
    <row r="248" spans="1:45" x14ac:dyDescent="0.25">
      <c r="V248" s="139"/>
      <c r="W248" s="139"/>
      <c r="X248" s="139"/>
      <c r="Y248" s="139"/>
      <c r="AC248" s="139"/>
    </row>
    <row r="249" spans="1:45" x14ac:dyDescent="0.25">
      <c r="A249" s="140"/>
      <c r="B249" s="142" t="s">
        <v>245</v>
      </c>
      <c r="C249" s="142"/>
      <c r="D249" s="143"/>
      <c r="E249" s="142"/>
      <c r="F249" s="142"/>
      <c r="G249" s="142"/>
      <c r="H249" s="144"/>
      <c r="I249" s="144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5">
        <f>SUM(V2:V247)</f>
        <v>59896.339999999953</v>
      </c>
      <c r="W249" s="145"/>
      <c r="X249" s="145"/>
      <c r="Y249" s="145">
        <f>SUM(Y2:Y246)</f>
        <v>109079.06000000004</v>
      </c>
      <c r="AA249" s="145">
        <f>SUM(AA2:AA246)</f>
        <v>71970.009999999995</v>
      </c>
      <c r="AC249" s="145">
        <f>SUM(AC2:AC246)</f>
        <v>44699.03</v>
      </c>
      <c r="AE249" s="145">
        <f>SUM(AE2:AE246)</f>
        <v>89400.459999999992</v>
      </c>
      <c r="AF249" s="145"/>
      <c r="AG249" s="145">
        <f>SUM(AG2:AG246)</f>
        <v>78167.339999999982</v>
      </c>
      <c r="AI249" s="145">
        <f>SUM(AI2:AI246)</f>
        <v>108891.70999999995</v>
      </c>
      <c r="AK249" s="145">
        <f>SUM(AK2:AK246)</f>
        <v>112161.98999999987</v>
      </c>
      <c r="AR249" s="56"/>
    </row>
    <row r="250" spans="1:45" x14ac:dyDescent="0.25">
      <c r="A250" s="140"/>
      <c r="B250" s="142"/>
      <c r="C250" s="142"/>
      <c r="D250" s="143"/>
      <c r="E250" s="142"/>
      <c r="F250" s="142"/>
      <c r="G250" s="142"/>
      <c r="H250" s="144"/>
      <c r="I250" s="144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5"/>
      <c r="W250" s="145"/>
      <c r="X250" s="145"/>
      <c r="Y250" s="145"/>
      <c r="AC250" s="139"/>
    </row>
    <row r="251" spans="1:45" x14ac:dyDescent="0.25">
      <c r="A251" s="140">
        <v>591.1</v>
      </c>
      <c r="B251" s="142" t="s">
        <v>246</v>
      </c>
      <c r="C251" s="142"/>
      <c r="D251" s="143"/>
      <c r="E251" s="142"/>
      <c r="F251" s="142"/>
      <c r="G251" s="142"/>
      <c r="H251" s="144"/>
      <c r="I251" s="144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5">
        <v>-11458.12</v>
      </c>
      <c r="W251" s="145"/>
      <c r="X251" s="145"/>
      <c r="Y251" s="145">
        <v>-23420.63</v>
      </c>
      <c r="Z251" s="145"/>
      <c r="AA251" s="139">
        <v>-14864.95</v>
      </c>
      <c r="AC251" s="139">
        <v>-9233.2900000000009</v>
      </c>
      <c r="AE251" s="139">
        <v>-18825.3</v>
      </c>
      <c r="AG251" s="139">
        <v>-16677.740000000002</v>
      </c>
      <c r="AI251" s="139">
        <v>-22969.59</v>
      </c>
      <c r="AK251" s="139">
        <f>-ROUND(AK249*0.21,2)</f>
        <v>-23554.02</v>
      </c>
    </row>
    <row r="252" spans="1:45" x14ac:dyDescent="0.25">
      <c r="A252" s="140">
        <v>591.20000000000005</v>
      </c>
      <c r="B252" s="142" t="s">
        <v>322</v>
      </c>
      <c r="C252" s="142"/>
      <c r="D252" s="143"/>
      <c r="E252" s="142"/>
      <c r="F252" s="142"/>
      <c r="G252" s="142"/>
      <c r="H252" s="144"/>
      <c r="I252" s="144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5"/>
      <c r="W252" s="145"/>
      <c r="X252" s="145"/>
      <c r="Y252" s="145"/>
      <c r="Z252" s="145"/>
      <c r="AC252" s="139"/>
      <c r="AK252" s="139">
        <v>-762.08</v>
      </c>
    </row>
    <row r="253" spans="1:45" s="142" customFormat="1" x14ac:dyDescent="0.25">
      <c r="A253" s="140"/>
      <c r="B253" s="142" t="s">
        <v>323</v>
      </c>
      <c r="D253" s="143"/>
      <c r="H253" s="144"/>
      <c r="I253" s="144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5"/>
      <c r="W253" s="145"/>
      <c r="X253" s="145"/>
      <c r="Y253" s="145"/>
      <c r="Z253" s="145"/>
      <c r="AA253" s="145"/>
      <c r="AC253" s="145"/>
      <c r="AD253" s="140"/>
      <c r="AE253" s="145"/>
      <c r="AF253" s="145"/>
      <c r="AG253" s="145"/>
      <c r="AI253" s="145"/>
      <c r="AK253" s="145">
        <f>SUM(AK251:AK252)</f>
        <v>-24316.100000000002</v>
      </c>
      <c r="AM253" s="145"/>
      <c r="AO253" s="145"/>
      <c r="AQ253" s="145"/>
    </row>
    <row r="254" spans="1:45" x14ac:dyDescent="0.25">
      <c r="A254" s="140"/>
      <c r="B254" s="142"/>
      <c r="C254" s="142"/>
      <c r="D254" s="143"/>
      <c r="E254" s="142"/>
      <c r="F254" s="142"/>
      <c r="G254" s="142"/>
      <c r="H254" s="144"/>
      <c r="I254" s="144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5"/>
      <c r="W254" s="145"/>
      <c r="X254" s="145"/>
      <c r="Y254" s="145"/>
      <c r="AC254" s="139"/>
    </row>
    <row r="255" spans="1:45" x14ac:dyDescent="0.25">
      <c r="A255" s="140"/>
      <c r="B255" s="142" t="s">
        <v>247</v>
      </c>
      <c r="C255" s="142"/>
      <c r="D255" s="143"/>
      <c r="E255" s="142"/>
      <c r="F255" s="142"/>
      <c r="G255" s="142"/>
      <c r="H255" s="144"/>
      <c r="I255" s="144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5">
        <f>V249+V251</f>
        <v>48438.21999999995</v>
      </c>
      <c r="W255" s="145"/>
      <c r="X255" s="145"/>
      <c r="Y255" s="145">
        <f>Y249+Y251</f>
        <v>85658.430000000037</v>
      </c>
      <c r="AA255" s="145">
        <f>AA249+AA251</f>
        <v>57105.06</v>
      </c>
      <c r="AC255" s="145">
        <f>AC249+AC251</f>
        <v>35465.74</v>
      </c>
      <c r="AE255" s="145">
        <f>AE249+AE251</f>
        <v>70575.159999999989</v>
      </c>
      <c r="AF255" s="145"/>
      <c r="AG255" s="145">
        <f t="shared" ref="AG255:AI255" si="0">AG249+AG251</f>
        <v>61489.599999999977</v>
      </c>
      <c r="AI255" s="145">
        <f t="shared" si="0"/>
        <v>85922.119999999952</v>
      </c>
      <c r="AK255" s="145">
        <f t="shared" ref="AK255" si="1">AK249+AK251</f>
        <v>88607.96999999987</v>
      </c>
    </row>
    <row r="256" spans="1:45" x14ac:dyDescent="0.25">
      <c r="AC256" s="139"/>
    </row>
    <row r="257" spans="29:29" x14ac:dyDescent="0.25">
      <c r="AC257" s="139"/>
    </row>
  </sheetData>
  <autoFilter ref="A1:AQ247" xr:uid="{00000000-0009-0000-0000-000001000000}"/>
  <pageMargins left="0.7" right="0.7" top="0.78740157499999996" bottom="0.78740157499999996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pageSetUpPr fitToPage="1"/>
  </sheetPr>
  <dimension ref="A1:Z996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Q9" sqref="Q9"/>
    </sheetView>
  </sheetViews>
  <sheetFormatPr defaultColWidth="9.140625" defaultRowHeight="15" x14ac:dyDescent="0.25"/>
  <cols>
    <col min="1" max="2" width="9.140625" style="9"/>
    <col min="3" max="3" width="14.28515625" style="9" bestFit="1" customWidth="1"/>
    <col min="4" max="4" width="9.140625" style="9" customWidth="1"/>
    <col min="5" max="5" width="7.28515625" style="9" customWidth="1"/>
    <col min="6" max="6" width="11.28515625" style="9" customWidth="1"/>
    <col min="7" max="7" width="10.5703125" style="9" customWidth="1"/>
    <col min="8" max="8" width="12.7109375" style="9" customWidth="1"/>
    <col min="9" max="9" width="9.140625" style="9" customWidth="1"/>
    <col min="10" max="10" width="14.5703125" style="9" customWidth="1"/>
    <col min="11" max="11" width="10.5703125" style="9" customWidth="1"/>
    <col min="12" max="12" width="20.140625" style="9" customWidth="1"/>
    <col min="13" max="13" width="13.28515625" style="9" customWidth="1"/>
    <col min="14" max="14" width="11.85546875" style="9" customWidth="1"/>
    <col min="15" max="15" width="13" style="9" customWidth="1"/>
    <col min="16" max="16" width="9.140625" style="9" customWidth="1"/>
    <col min="17" max="17" width="13.42578125" style="9" customWidth="1"/>
    <col min="18" max="18" width="20.140625" style="9" hidden="1" customWidth="1"/>
    <col min="19" max="19" width="13.28515625" style="55" hidden="1" customWidth="1"/>
    <col min="20" max="20" width="11.85546875" style="9" hidden="1" customWidth="1"/>
    <col min="21" max="21" width="13" style="9" hidden="1" customWidth="1"/>
    <col min="22" max="22" width="13.42578125" style="9" hidden="1" customWidth="1"/>
    <col min="23" max="23" width="17" style="9" hidden="1" customWidth="1"/>
    <col min="24" max="24" width="7.28515625" style="11" hidden="1" customWidth="1"/>
    <col min="25" max="25" width="16.5703125" style="11" hidden="1" customWidth="1"/>
    <col min="26" max="16384" width="9.140625" style="9"/>
  </cols>
  <sheetData>
    <row r="1" spans="1:25" x14ac:dyDescent="0.25">
      <c r="F1" s="10">
        <v>2015</v>
      </c>
      <c r="J1" s="9">
        <v>2015</v>
      </c>
      <c r="L1" s="9" t="s">
        <v>82</v>
      </c>
      <c r="M1" s="10">
        <v>2016</v>
      </c>
      <c r="Q1" s="9">
        <v>2016</v>
      </c>
      <c r="R1" s="9" t="s">
        <v>82</v>
      </c>
      <c r="S1" s="108" t="s">
        <v>206</v>
      </c>
      <c r="W1" s="59" t="s">
        <v>145</v>
      </c>
    </row>
    <row r="2" spans="1:25" hidden="1" x14ac:dyDescent="0.25">
      <c r="A2" s="12"/>
      <c r="B2" s="13"/>
      <c r="C2" s="13"/>
      <c r="D2" s="13"/>
      <c r="E2" s="13"/>
      <c r="F2" s="12" t="s">
        <v>33</v>
      </c>
      <c r="G2" s="14"/>
      <c r="H2" s="13"/>
      <c r="I2" s="12"/>
      <c r="J2" s="14"/>
      <c r="L2" s="13"/>
      <c r="M2" s="12" t="s">
        <v>33</v>
      </c>
      <c r="N2" s="14"/>
      <c r="O2" s="13"/>
      <c r="P2" s="12"/>
      <c r="Q2" s="14"/>
      <c r="R2" s="13"/>
      <c r="S2" s="52"/>
      <c r="T2" s="15"/>
      <c r="U2" s="16"/>
      <c r="V2" s="14"/>
      <c r="W2" s="14"/>
      <c r="X2" s="12"/>
      <c r="Y2" s="12"/>
    </row>
    <row r="3" spans="1:25" x14ac:dyDescent="0.25">
      <c r="A3" s="12"/>
      <c r="B3" s="13"/>
      <c r="C3" s="13"/>
      <c r="D3" s="13"/>
      <c r="E3" s="13"/>
      <c r="F3" s="12" t="s">
        <v>28</v>
      </c>
      <c r="G3" s="13" t="s">
        <v>29</v>
      </c>
      <c r="H3" s="13" t="s">
        <v>30</v>
      </c>
      <c r="I3" s="12"/>
      <c r="J3" s="14" t="s">
        <v>37</v>
      </c>
      <c r="L3" s="13"/>
      <c r="M3" s="12" t="s">
        <v>28</v>
      </c>
      <c r="N3" s="13" t="s">
        <v>29</v>
      </c>
      <c r="O3" s="13" t="s">
        <v>30</v>
      </c>
      <c r="P3" s="12"/>
      <c r="Q3" s="14" t="s">
        <v>37</v>
      </c>
      <c r="R3" s="13"/>
      <c r="S3" s="109" t="s">
        <v>33</v>
      </c>
      <c r="T3" s="15" t="s">
        <v>29</v>
      </c>
      <c r="U3" s="16" t="s">
        <v>30</v>
      </c>
      <c r="V3" s="17" t="s">
        <v>99</v>
      </c>
      <c r="W3" s="59" t="s">
        <v>146</v>
      </c>
      <c r="X3" s="12"/>
      <c r="Y3" s="12"/>
    </row>
    <row r="4" spans="1:25" x14ac:dyDescent="0.25">
      <c r="A4" s="18"/>
      <c r="B4" s="19"/>
      <c r="C4" s="19"/>
      <c r="D4" s="19"/>
      <c r="E4" s="19" t="s">
        <v>0</v>
      </c>
      <c r="F4" s="18" t="s">
        <v>32</v>
      </c>
      <c r="G4" s="19" t="s">
        <v>24</v>
      </c>
      <c r="H4" s="19" t="s">
        <v>31</v>
      </c>
      <c r="I4" s="18"/>
      <c r="J4" s="20" t="s">
        <v>1</v>
      </c>
      <c r="L4" s="19" t="s">
        <v>0</v>
      </c>
      <c r="M4" s="18" t="s">
        <v>32</v>
      </c>
      <c r="N4" s="19" t="s">
        <v>24</v>
      </c>
      <c r="O4" s="19" t="s">
        <v>31</v>
      </c>
      <c r="P4" s="18"/>
      <c r="Q4" s="20" t="s">
        <v>1</v>
      </c>
      <c r="R4" s="19" t="s">
        <v>0</v>
      </c>
      <c r="S4" s="110" t="s">
        <v>97</v>
      </c>
      <c r="T4" s="19" t="s">
        <v>24</v>
      </c>
      <c r="U4" s="19" t="s">
        <v>98</v>
      </c>
      <c r="V4" s="20" t="s">
        <v>1</v>
      </c>
      <c r="W4" s="20"/>
      <c r="X4" s="18" t="s">
        <v>0</v>
      </c>
      <c r="Y4" s="18" t="s">
        <v>133</v>
      </c>
    </row>
    <row r="5" spans="1:25" x14ac:dyDescent="0.25">
      <c r="A5" s="13" t="s">
        <v>43</v>
      </c>
      <c r="D5" s="13"/>
      <c r="E5" s="13"/>
      <c r="F5" s="21"/>
      <c r="G5" s="13"/>
      <c r="H5" s="13"/>
      <c r="I5" s="21"/>
      <c r="J5" s="22"/>
      <c r="L5" s="13"/>
      <c r="M5" s="21"/>
      <c r="N5" s="13"/>
      <c r="O5" s="13"/>
      <c r="P5" s="21"/>
      <c r="Q5" s="22"/>
      <c r="R5" s="13"/>
      <c r="S5" s="111"/>
      <c r="T5" s="13"/>
      <c r="U5" s="13"/>
      <c r="V5" s="22"/>
      <c r="W5" s="14"/>
      <c r="X5" s="12"/>
      <c r="Y5" s="12"/>
    </row>
    <row r="6" spans="1:25" x14ac:dyDescent="0.25">
      <c r="A6" s="9" t="s">
        <v>41</v>
      </c>
      <c r="E6" s="9">
        <v>599</v>
      </c>
      <c r="F6" s="11"/>
      <c r="G6" s="9">
        <v>20400</v>
      </c>
      <c r="H6" s="9">
        <v>64350</v>
      </c>
      <c r="I6" s="23"/>
      <c r="J6" s="125">
        <f>SUM(G6:I6)</f>
        <v>84750</v>
      </c>
      <c r="L6" s="9">
        <v>599</v>
      </c>
      <c r="M6" s="11"/>
      <c r="P6" s="23"/>
      <c r="Q6" s="22"/>
      <c r="S6" s="53"/>
      <c r="V6" s="22"/>
      <c r="W6" s="22"/>
      <c r="X6" s="11">
        <v>599</v>
      </c>
      <c r="Y6" s="11">
        <v>599</v>
      </c>
    </row>
    <row r="7" spans="1:25" x14ac:dyDescent="0.25">
      <c r="A7" s="9" t="s">
        <v>38</v>
      </c>
      <c r="B7" s="13"/>
      <c r="C7" s="13"/>
      <c r="D7" s="13"/>
      <c r="E7" s="9">
        <v>501020</v>
      </c>
      <c r="F7" s="11"/>
      <c r="G7" s="9">
        <v>60</v>
      </c>
      <c r="H7" s="9">
        <v>1000</v>
      </c>
      <c r="I7" s="24"/>
      <c r="J7" s="125">
        <f>SUM(F7:I7)</f>
        <v>1060</v>
      </c>
      <c r="L7" s="9">
        <v>501020</v>
      </c>
      <c r="M7" s="11"/>
      <c r="P7" s="24"/>
      <c r="Q7" s="126">
        <f>SUM(M7:P7)</f>
        <v>0</v>
      </c>
      <c r="S7" s="53"/>
      <c r="V7" s="22">
        <f>SUM(S7:U7)</f>
        <v>0</v>
      </c>
      <c r="W7" s="22"/>
      <c r="X7" s="11">
        <v>501020</v>
      </c>
    </row>
    <row r="8" spans="1:25" x14ac:dyDescent="0.25">
      <c r="A8" s="9" t="s">
        <v>4</v>
      </c>
      <c r="D8" s="25"/>
      <c r="E8" s="9">
        <v>501040</v>
      </c>
      <c r="F8" s="11">
        <v>500</v>
      </c>
      <c r="I8" s="11"/>
      <c r="J8" s="125">
        <f>SUM(F8:I8)</f>
        <v>500</v>
      </c>
      <c r="L8" s="9">
        <v>501040</v>
      </c>
      <c r="M8" s="11">
        <v>799.42</v>
      </c>
      <c r="P8" s="11"/>
      <c r="Q8" s="126">
        <f>SUM(M8:P8)</f>
        <v>799.42</v>
      </c>
      <c r="S8" s="107">
        <v>500</v>
      </c>
      <c r="V8" s="22">
        <f t="shared" ref="V8:V69" si="0">SUM(S8:U8)</f>
        <v>500</v>
      </c>
      <c r="W8" s="60"/>
      <c r="X8" s="11">
        <v>501040</v>
      </c>
      <c r="Y8" s="11">
        <v>5010400</v>
      </c>
    </row>
    <row r="9" spans="1:25" x14ac:dyDescent="0.25">
      <c r="A9" s="9" t="s">
        <v>5</v>
      </c>
      <c r="D9" s="25"/>
      <c r="E9" s="9">
        <v>501100</v>
      </c>
      <c r="F9" s="11">
        <v>800</v>
      </c>
      <c r="G9" s="9">
        <v>150</v>
      </c>
      <c r="H9" s="9">
        <v>2000</v>
      </c>
      <c r="I9" s="11"/>
      <c r="J9" s="125">
        <f>SUM(F9:I9)</f>
        <v>2950</v>
      </c>
      <c r="L9" s="9">
        <v>501100</v>
      </c>
      <c r="M9" s="11">
        <v>1365.56</v>
      </c>
      <c r="O9" s="9">
        <v>1965.06</v>
      </c>
      <c r="P9" s="11"/>
      <c r="Q9" s="126">
        <f>SUM(M9:P9)</f>
        <v>3330.62</v>
      </c>
      <c r="S9" s="107">
        <v>100</v>
      </c>
      <c r="V9" s="22">
        <f t="shared" si="0"/>
        <v>100</v>
      </c>
      <c r="W9" s="60"/>
      <c r="X9" s="11">
        <v>501100</v>
      </c>
      <c r="Y9" s="11">
        <v>5011000</v>
      </c>
    </row>
    <row r="10" spans="1:25" hidden="1" x14ac:dyDescent="0.25">
      <c r="A10" s="9" t="s">
        <v>100</v>
      </c>
      <c r="D10" s="25"/>
      <c r="F10" s="11"/>
      <c r="I10" s="11"/>
      <c r="J10" s="22"/>
      <c r="M10" s="11"/>
      <c r="P10" s="11"/>
      <c r="Q10" s="22"/>
      <c r="S10" s="53"/>
      <c r="U10" s="9">
        <v>1000</v>
      </c>
      <c r="V10" s="22">
        <f t="shared" si="0"/>
        <v>1000</v>
      </c>
      <c r="W10" s="60"/>
      <c r="X10" s="11">
        <v>501150</v>
      </c>
      <c r="Y10" s="11">
        <v>5011500</v>
      </c>
    </row>
    <row r="11" spans="1:25" x14ac:dyDescent="0.25">
      <c r="A11" s="9" t="s">
        <v>26</v>
      </c>
      <c r="D11" s="25"/>
      <c r="E11" s="9">
        <v>501103</v>
      </c>
      <c r="F11" s="11"/>
      <c r="G11" s="9">
        <v>1000</v>
      </c>
      <c r="H11" s="9">
        <v>1000</v>
      </c>
      <c r="I11" s="11"/>
      <c r="J11" s="125">
        <f t="shared" ref="J11:J17" si="1">SUM(F11:I11)</f>
        <v>2000</v>
      </c>
      <c r="L11" s="9">
        <v>501110</v>
      </c>
      <c r="M11" s="11">
        <v>970.53</v>
      </c>
      <c r="P11" s="11"/>
      <c r="Q11" s="126">
        <f t="shared" ref="Q11:Q17" si="2">SUM(M11:P11)</f>
        <v>970.53</v>
      </c>
      <c r="S11" s="53"/>
      <c r="V11" s="22">
        <f t="shared" si="0"/>
        <v>0</v>
      </c>
      <c r="W11" s="22"/>
      <c r="X11" s="11">
        <v>501103</v>
      </c>
      <c r="Y11" s="11">
        <v>5011100</v>
      </c>
    </row>
    <row r="12" spans="1:25" hidden="1" x14ac:dyDescent="0.25">
      <c r="A12" s="9" t="s">
        <v>134</v>
      </c>
      <c r="D12" s="25"/>
      <c r="F12" s="11"/>
      <c r="I12" s="11"/>
      <c r="J12" s="22"/>
      <c r="M12" s="11"/>
      <c r="P12" s="11"/>
      <c r="Q12" s="22"/>
      <c r="S12" s="53"/>
      <c r="V12" s="22"/>
      <c r="W12" s="60"/>
      <c r="Y12" s="11">
        <v>5012100</v>
      </c>
    </row>
    <row r="13" spans="1:25" x14ac:dyDescent="0.25">
      <c r="A13" s="9" t="s">
        <v>52</v>
      </c>
      <c r="D13" s="25"/>
      <c r="E13" s="9">
        <v>501600</v>
      </c>
      <c r="F13" s="11"/>
      <c r="H13" s="9">
        <v>500</v>
      </c>
      <c r="I13" s="11"/>
      <c r="J13" s="125">
        <f t="shared" si="1"/>
        <v>500</v>
      </c>
      <c r="L13" s="9">
        <v>501600</v>
      </c>
      <c r="M13" s="11"/>
      <c r="O13" s="9">
        <v>81.27</v>
      </c>
      <c r="P13" s="11"/>
      <c r="Q13" s="126">
        <f t="shared" si="2"/>
        <v>81.27</v>
      </c>
      <c r="S13" s="53"/>
      <c r="U13" s="9">
        <v>500</v>
      </c>
      <c r="V13" s="22">
        <f t="shared" si="0"/>
        <v>500</v>
      </c>
      <c r="W13" s="60"/>
      <c r="X13" s="11">
        <v>501600</v>
      </c>
      <c r="Y13" s="11">
        <v>5016000</v>
      </c>
    </row>
    <row r="14" spans="1:25" x14ac:dyDescent="0.25">
      <c r="A14" s="9" t="s">
        <v>6</v>
      </c>
      <c r="D14" s="26"/>
      <c r="E14" s="9">
        <v>502100</v>
      </c>
      <c r="F14" s="11">
        <v>450</v>
      </c>
      <c r="I14" s="11"/>
      <c r="J14" s="125">
        <f t="shared" si="1"/>
        <v>450</v>
      </c>
      <c r="L14" s="9">
        <v>502100</v>
      </c>
      <c r="M14" s="11">
        <v>485.96</v>
      </c>
      <c r="P14" s="11"/>
      <c r="Q14" s="126">
        <f t="shared" si="2"/>
        <v>485.96</v>
      </c>
      <c r="S14" s="107">
        <v>500</v>
      </c>
      <c r="V14" s="22">
        <f t="shared" si="0"/>
        <v>500</v>
      </c>
      <c r="W14" s="22"/>
      <c r="X14" s="11">
        <v>502100</v>
      </c>
    </row>
    <row r="15" spans="1:25" x14ac:dyDescent="0.25">
      <c r="A15" s="9" t="s">
        <v>121</v>
      </c>
      <c r="D15" s="25"/>
      <c r="E15" s="9">
        <v>511100</v>
      </c>
      <c r="F15" s="11">
        <v>0</v>
      </c>
      <c r="I15" s="11"/>
      <c r="J15" s="125">
        <f t="shared" si="1"/>
        <v>0</v>
      </c>
      <c r="L15" s="9">
        <v>511100</v>
      </c>
      <c r="M15" s="11">
        <v>166</v>
      </c>
      <c r="P15" s="11"/>
      <c r="Q15" s="126">
        <f t="shared" si="2"/>
        <v>166</v>
      </c>
      <c r="S15" s="107">
        <v>200</v>
      </c>
      <c r="V15" s="22">
        <f t="shared" si="0"/>
        <v>200</v>
      </c>
      <c r="W15" s="60"/>
      <c r="X15" s="11">
        <v>511100</v>
      </c>
      <c r="Y15" s="11">
        <v>5111000</v>
      </c>
    </row>
    <row r="16" spans="1:25" x14ac:dyDescent="0.25">
      <c r="A16" s="9" t="s">
        <v>7</v>
      </c>
      <c r="D16" s="25"/>
      <c r="E16" s="9">
        <v>512100</v>
      </c>
      <c r="F16" s="11">
        <v>1000</v>
      </c>
      <c r="G16" s="9">
        <v>2500</v>
      </c>
      <c r="H16" s="9">
        <v>2000</v>
      </c>
      <c r="I16" s="11"/>
      <c r="J16" s="125">
        <f t="shared" si="1"/>
        <v>5500</v>
      </c>
      <c r="L16" s="9">
        <v>512100</v>
      </c>
      <c r="M16" s="11">
        <v>1246.6400000000001</v>
      </c>
      <c r="N16" s="9">
        <v>1109.3499999999999</v>
      </c>
      <c r="O16" s="9">
        <v>754.09</v>
      </c>
      <c r="P16" s="11"/>
      <c r="Q16" s="126">
        <f t="shared" si="2"/>
        <v>3110.08</v>
      </c>
      <c r="S16" s="53"/>
      <c r="T16" s="55">
        <v>1000</v>
      </c>
      <c r="U16" s="9">
        <v>500</v>
      </c>
      <c r="V16" s="22">
        <f t="shared" si="0"/>
        <v>1500</v>
      </c>
      <c r="W16" s="60"/>
      <c r="X16" s="11">
        <v>512100</v>
      </c>
      <c r="Y16" s="11" t="s">
        <v>135</v>
      </c>
    </row>
    <row r="17" spans="1:26" x14ac:dyDescent="0.25">
      <c r="A17" s="9" t="s">
        <v>8</v>
      </c>
      <c r="D17" s="25"/>
      <c r="E17" s="9">
        <v>513100</v>
      </c>
      <c r="F17" s="11">
        <v>300</v>
      </c>
      <c r="H17" s="9">
        <v>200</v>
      </c>
      <c r="I17" s="11"/>
      <c r="J17" s="125">
        <f t="shared" si="1"/>
        <v>500</v>
      </c>
      <c r="L17" s="9">
        <v>513100</v>
      </c>
      <c r="M17" s="11">
        <v>367.11</v>
      </c>
      <c r="O17" s="9">
        <v>48</v>
      </c>
      <c r="P17" s="11"/>
      <c r="Q17" s="126">
        <f t="shared" si="2"/>
        <v>415.11</v>
      </c>
      <c r="S17" s="107">
        <v>200</v>
      </c>
      <c r="U17" s="9">
        <v>50</v>
      </c>
      <c r="V17" s="22">
        <f t="shared" si="0"/>
        <v>250</v>
      </c>
      <c r="W17" s="60"/>
      <c r="X17" s="11">
        <v>513100</v>
      </c>
      <c r="Y17" s="11">
        <v>5131000</v>
      </c>
    </row>
    <row r="18" spans="1:26" x14ac:dyDescent="0.25">
      <c r="A18" s="9" t="s">
        <v>53</v>
      </c>
      <c r="D18" s="25"/>
      <c r="E18" s="9">
        <v>518005</v>
      </c>
      <c r="F18" s="11"/>
      <c r="H18" s="9">
        <v>1000</v>
      </c>
      <c r="I18" s="11"/>
      <c r="J18" s="125">
        <f>SUM(F18:I18)</f>
        <v>1000</v>
      </c>
      <c r="L18" s="9">
        <v>518005</v>
      </c>
      <c r="M18" s="11"/>
      <c r="P18" s="11"/>
      <c r="Q18" s="22"/>
      <c r="S18" s="53"/>
      <c r="V18" s="22">
        <f t="shared" si="0"/>
        <v>0</v>
      </c>
      <c r="W18" s="22"/>
      <c r="X18" s="11">
        <v>518005</v>
      </c>
    </row>
    <row r="19" spans="1:26" x14ac:dyDescent="0.25">
      <c r="A19" s="9" t="s">
        <v>2</v>
      </c>
      <c r="D19" s="25"/>
      <c r="E19" s="9">
        <v>518050</v>
      </c>
      <c r="F19" s="11"/>
      <c r="G19" s="9">
        <v>4000</v>
      </c>
      <c r="I19" s="11"/>
      <c r="J19" s="125">
        <f>SUM(F19:I19)</f>
        <v>4000</v>
      </c>
      <c r="L19" s="9">
        <v>518050</v>
      </c>
      <c r="M19" s="11">
        <v>82.25</v>
      </c>
      <c r="N19" s="9">
        <v>4233</v>
      </c>
      <c r="P19" s="11"/>
      <c r="Q19" s="126">
        <f>SUM(M19:P19)</f>
        <v>4315.25</v>
      </c>
      <c r="S19" s="53">
        <v>100</v>
      </c>
      <c r="T19" s="9">
        <v>4233</v>
      </c>
      <c r="V19" s="22">
        <f t="shared" si="0"/>
        <v>4333</v>
      </c>
      <c r="W19" s="22"/>
      <c r="X19" s="11">
        <v>518050</v>
      </c>
    </row>
    <row r="20" spans="1:26" hidden="1" x14ac:dyDescent="0.25">
      <c r="A20" s="9" t="s">
        <v>122</v>
      </c>
      <c r="D20" s="25"/>
      <c r="E20" s="9">
        <v>518070</v>
      </c>
      <c r="F20" s="11"/>
      <c r="I20" s="11"/>
      <c r="J20" s="22"/>
      <c r="L20" s="9">
        <v>518070</v>
      </c>
      <c r="M20" s="11"/>
      <c r="N20" s="9">
        <v>1899.76</v>
      </c>
      <c r="P20" s="11"/>
      <c r="Q20" s="126">
        <v>1899.76</v>
      </c>
      <c r="S20" s="53"/>
      <c r="T20" s="9">
        <v>1899.76</v>
      </c>
      <c r="V20" s="22">
        <f t="shared" si="0"/>
        <v>1899.76</v>
      </c>
      <c r="W20" s="60"/>
      <c r="X20" s="11">
        <v>518070</v>
      </c>
      <c r="Y20" s="11">
        <v>5180700</v>
      </c>
    </row>
    <row r="21" spans="1:26" x14ac:dyDescent="0.25">
      <c r="A21" s="9" t="s">
        <v>3</v>
      </c>
      <c r="D21" s="25"/>
      <c r="E21" s="9">
        <v>518080</v>
      </c>
      <c r="F21" s="11"/>
      <c r="G21" s="9">
        <v>300</v>
      </c>
      <c r="I21" s="11"/>
      <c r="J21" s="125">
        <f t="shared" ref="J21:J31" si="3">SUM(F21:I21)</f>
        <v>300</v>
      </c>
      <c r="L21" s="9">
        <v>518080</v>
      </c>
      <c r="M21" s="11"/>
      <c r="P21" s="11"/>
      <c r="Q21" s="22"/>
      <c r="S21" s="53"/>
      <c r="V21" s="22">
        <f t="shared" si="0"/>
        <v>0</v>
      </c>
      <c r="W21" s="22"/>
      <c r="X21" s="11">
        <v>518080</v>
      </c>
    </row>
    <row r="22" spans="1:26" x14ac:dyDescent="0.25">
      <c r="A22" s="9" t="s">
        <v>84</v>
      </c>
      <c r="D22" s="25"/>
      <c r="E22" s="9">
        <v>518100</v>
      </c>
      <c r="F22" s="11">
        <v>3000</v>
      </c>
      <c r="G22" s="9">
        <v>4300</v>
      </c>
      <c r="H22" s="9">
        <v>1000</v>
      </c>
      <c r="I22" s="11"/>
      <c r="J22" s="125">
        <f t="shared" si="3"/>
        <v>8300</v>
      </c>
      <c r="L22" s="9" t="s">
        <v>85</v>
      </c>
      <c r="M22" s="11">
        <v>3172.88</v>
      </c>
      <c r="N22" s="9">
        <v>3</v>
      </c>
      <c r="O22" s="9">
        <v>121.51</v>
      </c>
      <c r="P22" s="11"/>
      <c r="Q22" s="126">
        <f>SUM(M22:P22)</f>
        <v>3297.3900000000003</v>
      </c>
      <c r="S22" s="53"/>
      <c r="U22" s="9">
        <v>150</v>
      </c>
      <c r="V22" s="22">
        <f t="shared" si="0"/>
        <v>150</v>
      </c>
      <c r="W22" s="60"/>
      <c r="X22" s="11">
        <v>518100</v>
      </c>
      <c r="Y22" s="11">
        <v>5181000</v>
      </c>
    </row>
    <row r="23" spans="1:26" x14ac:dyDescent="0.25">
      <c r="A23" s="9" t="s">
        <v>54</v>
      </c>
      <c r="B23" s="9" t="s">
        <v>30</v>
      </c>
      <c r="D23" s="25"/>
      <c r="E23" s="9">
        <v>518110</v>
      </c>
      <c r="F23" s="11"/>
      <c r="H23" s="9">
        <v>66000</v>
      </c>
      <c r="I23" s="11"/>
      <c r="J23" s="125">
        <f t="shared" si="3"/>
        <v>66000</v>
      </c>
      <c r="L23" s="9">
        <v>518110</v>
      </c>
      <c r="M23" s="11"/>
      <c r="O23" s="9">
        <v>62213.65</v>
      </c>
      <c r="P23" s="11"/>
      <c r="Q23" s="126">
        <f>SUM(M23:P23)</f>
        <v>62213.65</v>
      </c>
      <c r="S23" s="53"/>
      <c r="U23" s="9">
        <f>800*45</f>
        <v>36000</v>
      </c>
      <c r="V23" s="22">
        <f t="shared" si="0"/>
        <v>36000</v>
      </c>
      <c r="W23" s="60"/>
      <c r="X23" s="11">
        <v>518210</v>
      </c>
      <c r="Y23" s="11">
        <v>5182100</v>
      </c>
    </row>
    <row r="24" spans="1:26" hidden="1" x14ac:dyDescent="0.25">
      <c r="A24" s="9" t="s">
        <v>54</v>
      </c>
      <c r="B24" s="9" t="s">
        <v>58</v>
      </c>
      <c r="D24" s="25"/>
      <c r="F24" s="11"/>
      <c r="I24" s="11"/>
      <c r="J24" s="22"/>
      <c r="M24" s="11"/>
      <c r="P24" s="11"/>
      <c r="Q24" s="22"/>
      <c r="S24" s="53"/>
      <c r="U24" s="9">
        <f>2700*2</f>
        <v>5400</v>
      </c>
      <c r="V24" s="22">
        <f t="shared" si="0"/>
        <v>5400</v>
      </c>
      <c r="W24" s="60"/>
    </row>
    <row r="25" spans="1:26" hidden="1" x14ac:dyDescent="0.25">
      <c r="A25" s="9" t="s">
        <v>54</v>
      </c>
      <c r="B25" s="9" t="s">
        <v>127</v>
      </c>
      <c r="D25" s="25"/>
      <c r="F25" s="11"/>
      <c r="I25" s="11"/>
      <c r="J25" s="22"/>
      <c r="M25" s="11"/>
      <c r="P25" s="11"/>
      <c r="Q25" s="22"/>
      <c r="S25" s="53"/>
      <c r="U25" s="9">
        <f>500*20</f>
        <v>10000</v>
      </c>
      <c r="V25" s="22">
        <f t="shared" si="0"/>
        <v>10000</v>
      </c>
      <c r="W25" s="60"/>
    </row>
    <row r="26" spans="1:26" hidden="1" x14ac:dyDescent="0.25">
      <c r="A26" s="9" t="s">
        <v>54</v>
      </c>
      <c r="B26" s="9" t="s">
        <v>125</v>
      </c>
      <c r="D26" s="25"/>
      <c r="F26" s="11"/>
      <c r="I26" s="11"/>
      <c r="J26" s="22"/>
      <c r="M26" s="11"/>
      <c r="P26" s="11"/>
      <c r="Q26" s="22"/>
      <c r="S26" s="53"/>
      <c r="U26" s="9">
        <f>2*1000</f>
        <v>2000</v>
      </c>
      <c r="V26" s="22">
        <f t="shared" si="0"/>
        <v>2000</v>
      </c>
      <c r="W26" s="60"/>
    </row>
    <row r="27" spans="1:26" x14ac:dyDescent="0.25">
      <c r="A27" s="9" t="s">
        <v>54</v>
      </c>
      <c r="B27" s="9" t="s">
        <v>130</v>
      </c>
      <c r="D27" s="25"/>
      <c r="E27" s="9">
        <v>518111</v>
      </c>
      <c r="F27" s="11"/>
      <c r="I27" s="11"/>
      <c r="J27" s="125">
        <f t="shared" si="3"/>
        <v>0</v>
      </c>
      <c r="L27" s="9">
        <v>518111</v>
      </c>
      <c r="M27" s="11"/>
      <c r="P27" s="11"/>
      <c r="Q27" s="22">
        <f>SUM(M27:P27)</f>
        <v>0</v>
      </c>
      <c r="S27" s="53"/>
      <c r="V27" s="22">
        <f t="shared" si="0"/>
        <v>0</v>
      </c>
      <c r="W27" s="22"/>
      <c r="X27" s="11">
        <v>518111</v>
      </c>
    </row>
    <row r="28" spans="1:26" x14ac:dyDescent="0.25">
      <c r="A28" s="9" t="s">
        <v>129</v>
      </c>
      <c r="B28" s="9" t="s">
        <v>30</v>
      </c>
      <c r="D28" s="25"/>
      <c r="E28" s="9">
        <v>518200</v>
      </c>
      <c r="F28" s="11"/>
      <c r="H28" s="9">
        <v>20000</v>
      </c>
      <c r="I28" s="11"/>
      <c r="J28" s="125">
        <f t="shared" si="3"/>
        <v>20000</v>
      </c>
      <c r="L28" s="9">
        <v>518200</v>
      </c>
      <c r="M28" s="11"/>
      <c r="O28" s="9">
        <v>15387.42</v>
      </c>
      <c r="P28" s="11"/>
      <c r="Q28" s="126">
        <f>SUM(M28:P28)</f>
        <v>15387.42</v>
      </c>
      <c r="S28" s="53"/>
      <c r="U28" s="9">
        <f>440*4</f>
        <v>1760</v>
      </c>
      <c r="V28" s="22">
        <f t="shared" si="0"/>
        <v>1760</v>
      </c>
      <c r="W28" s="60"/>
      <c r="X28" s="11">
        <v>518200</v>
      </c>
      <c r="Y28" s="11">
        <v>5182000</v>
      </c>
    </row>
    <row r="29" spans="1:26" hidden="1" x14ac:dyDescent="0.25">
      <c r="A29" s="9" t="s">
        <v>129</v>
      </c>
      <c r="B29" s="9" t="s">
        <v>125</v>
      </c>
      <c r="D29" s="25"/>
      <c r="F29" s="11"/>
      <c r="I29" s="11"/>
      <c r="J29" s="22"/>
      <c r="M29" s="11"/>
      <c r="P29" s="11"/>
      <c r="Q29" s="22"/>
      <c r="S29" s="53"/>
      <c r="U29" s="9">
        <f>2*1000</f>
        <v>2000</v>
      </c>
      <c r="V29" s="22">
        <f t="shared" si="0"/>
        <v>2000</v>
      </c>
      <c r="W29" s="60"/>
    </row>
    <row r="30" spans="1:26" hidden="1" x14ac:dyDescent="0.25">
      <c r="A30" s="9" t="s">
        <v>129</v>
      </c>
      <c r="B30" s="9" t="s">
        <v>58</v>
      </c>
      <c r="D30" s="25"/>
      <c r="F30" s="11"/>
      <c r="I30" s="11"/>
      <c r="J30" s="22"/>
      <c r="M30" s="11"/>
      <c r="P30" s="11"/>
      <c r="Q30" s="22"/>
      <c r="S30" s="53"/>
      <c r="U30" s="9">
        <f>2*1000</f>
        <v>2000</v>
      </c>
      <c r="V30" s="22">
        <f t="shared" si="0"/>
        <v>2000</v>
      </c>
      <c r="W30" s="60"/>
    </row>
    <row r="31" spans="1:26" x14ac:dyDescent="0.25">
      <c r="A31" s="9" t="s">
        <v>55</v>
      </c>
      <c r="D31" s="25"/>
      <c r="E31" s="9">
        <v>518220</v>
      </c>
      <c r="F31" s="11"/>
      <c r="H31" s="9">
        <v>3000</v>
      </c>
      <c r="I31" s="11"/>
      <c r="J31" s="125">
        <f t="shared" si="3"/>
        <v>3000</v>
      </c>
      <c r="L31" s="9">
        <v>518220</v>
      </c>
      <c r="M31" s="11">
        <v>116.95</v>
      </c>
      <c r="O31" s="9">
        <v>1408.54</v>
      </c>
      <c r="P31" s="11"/>
      <c r="Q31" s="126">
        <f>SUM(M31:P31)</f>
        <v>1525.49</v>
      </c>
      <c r="S31" s="113"/>
      <c r="T31" s="55">
        <v>200</v>
      </c>
      <c r="U31" s="9">
        <v>1200</v>
      </c>
      <c r="V31" s="22">
        <f t="shared" si="0"/>
        <v>1400</v>
      </c>
      <c r="W31" s="60"/>
      <c r="X31" s="11">
        <v>518220</v>
      </c>
      <c r="Y31" s="11">
        <v>5182200</v>
      </c>
      <c r="Z31" s="9" t="s">
        <v>140</v>
      </c>
    </row>
    <row r="32" spans="1:26" hidden="1" x14ac:dyDescent="0.25">
      <c r="A32" s="9" t="s">
        <v>131</v>
      </c>
      <c r="B32" s="9" t="s">
        <v>30</v>
      </c>
      <c r="D32" s="25"/>
      <c r="F32" s="11"/>
      <c r="I32" s="11"/>
      <c r="J32" s="22"/>
      <c r="M32" s="11"/>
      <c r="P32" s="11"/>
      <c r="Q32" s="22"/>
      <c r="S32" s="53"/>
      <c r="U32" s="9">
        <f>40*22*6</f>
        <v>5280</v>
      </c>
      <c r="V32" s="22">
        <f t="shared" si="0"/>
        <v>5280</v>
      </c>
      <c r="W32" s="60"/>
      <c r="Y32" s="11">
        <v>5183000</v>
      </c>
    </row>
    <row r="33" spans="1:25" hidden="1" x14ac:dyDescent="0.25">
      <c r="A33" s="9" t="s">
        <v>131</v>
      </c>
      <c r="B33" s="9" t="s">
        <v>58</v>
      </c>
      <c r="D33" s="25"/>
      <c r="F33" s="11"/>
      <c r="I33" s="11"/>
      <c r="J33" s="22"/>
      <c r="M33" s="11"/>
      <c r="P33" s="11"/>
      <c r="Q33" s="22"/>
      <c r="S33" s="53"/>
      <c r="U33" s="9">
        <f>(1800+2600)*2</f>
        <v>8800</v>
      </c>
      <c r="V33" s="22">
        <f t="shared" si="0"/>
        <v>8800</v>
      </c>
      <c r="W33" s="22"/>
    </row>
    <row r="34" spans="1:25" hidden="1" x14ac:dyDescent="0.25">
      <c r="A34" s="9" t="s">
        <v>131</v>
      </c>
      <c r="B34" s="9" t="s">
        <v>127</v>
      </c>
      <c r="D34" s="25"/>
      <c r="F34" s="11"/>
      <c r="I34" s="11"/>
      <c r="J34" s="22"/>
      <c r="M34" s="11"/>
      <c r="P34" s="11"/>
      <c r="Q34" s="22"/>
      <c r="S34" s="53"/>
      <c r="U34" s="9">
        <f>15*20*5</f>
        <v>1500</v>
      </c>
      <c r="V34" s="22">
        <f t="shared" si="0"/>
        <v>1500</v>
      </c>
      <c r="W34" s="22"/>
    </row>
    <row r="35" spans="1:25" hidden="1" x14ac:dyDescent="0.25">
      <c r="A35" s="9" t="s">
        <v>131</v>
      </c>
      <c r="B35" s="9" t="s">
        <v>125</v>
      </c>
      <c r="D35" s="25"/>
      <c r="F35" s="11"/>
      <c r="I35" s="11"/>
      <c r="J35" s="22"/>
      <c r="M35" s="11"/>
      <c r="P35" s="11"/>
      <c r="Q35" s="22"/>
      <c r="S35" s="53"/>
      <c r="U35" s="9">
        <f>2*80*25</f>
        <v>4000</v>
      </c>
      <c r="V35" s="22">
        <f t="shared" si="0"/>
        <v>4000</v>
      </c>
      <c r="W35" s="22"/>
    </row>
    <row r="36" spans="1:25" hidden="1" x14ac:dyDescent="0.25">
      <c r="A36" s="9" t="s">
        <v>128</v>
      </c>
      <c r="B36" s="9" t="s">
        <v>80</v>
      </c>
      <c r="D36" s="25"/>
      <c r="F36" s="11"/>
      <c r="I36" s="11"/>
      <c r="J36" s="22"/>
      <c r="M36" s="11"/>
      <c r="P36" s="11"/>
      <c r="Q36" s="22"/>
      <c r="S36" s="53"/>
      <c r="U36" s="9">
        <v>25890</v>
      </c>
      <c r="V36" s="22">
        <f t="shared" si="0"/>
        <v>25890</v>
      </c>
      <c r="W36" s="22"/>
    </row>
    <row r="37" spans="1:25" hidden="1" x14ac:dyDescent="0.25">
      <c r="A37" s="9" t="s">
        <v>136</v>
      </c>
      <c r="D37" s="25"/>
      <c r="F37" s="11"/>
      <c r="I37" s="11"/>
      <c r="J37" s="22"/>
      <c r="M37" s="11"/>
      <c r="P37" s="11"/>
      <c r="Q37" s="22"/>
      <c r="S37" s="53"/>
      <c r="V37" s="22"/>
      <c r="W37" s="60"/>
      <c r="Y37" s="11">
        <v>5182300</v>
      </c>
    </row>
    <row r="38" spans="1:25" hidden="1" x14ac:dyDescent="0.25">
      <c r="A38" s="9" t="s">
        <v>137</v>
      </c>
      <c r="D38" s="25"/>
      <c r="F38" s="11"/>
      <c r="I38" s="11"/>
      <c r="J38" s="22"/>
      <c r="M38" s="11"/>
      <c r="P38" s="11"/>
      <c r="Q38" s="22"/>
      <c r="S38" s="53"/>
      <c r="V38" s="22"/>
      <c r="W38" s="60"/>
      <c r="Y38" s="11">
        <v>5182600</v>
      </c>
    </row>
    <row r="39" spans="1:25" x14ac:dyDescent="0.25">
      <c r="A39" s="9" t="s">
        <v>9</v>
      </c>
      <c r="D39" s="26"/>
      <c r="E39" s="9">
        <v>518400</v>
      </c>
      <c r="F39" s="11">
        <v>13000</v>
      </c>
      <c r="I39" s="11"/>
      <c r="J39" s="125">
        <f>SUM(F39:I39)</f>
        <v>13000</v>
      </c>
      <c r="L39" s="9">
        <v>518400</v>
      </c>
      <c r="M39" s="11">
        <v>13184</v>
      </c>
      <c r="P39" s="11"/>
      <c r="Q39" s="127">
        <v>13184</v>
      </c>
      <c r="S39" s="107">
        <v>13184</v>
      </c>
      <c r="V39" s="22">
        <f t="shared" si="0"/>
        <v>13184</v>
      </c>
      <c r="W39" s="60"/>
      <c r="X39" s="11">
        <v>518400</v>
      </c>
      <c r="Y39" s="11">
        <v>5184000</v>
      </c>
    </row>
    <row r="40" spans="1:25" x14ac:dyDescent="0.25">
      <c r="A40" s="9" t="s">
        <v>10</v>
      </c>
      <c r="D40" s="26"/>
      <c r="E40" s="9">
        <v>518410</v>
      </c>
      <c r="F40" s="11">
        <v>4000</v>
      </c>
      <c r="I40" s="11"/>
      <c r="J40" s="125">
        <f>SUM(F40:I40)</f>
        <v>4000</v>
      </c>
      <c r="L40" s="9">
        <v>518410</v>
      </c>
      <c r="M40" s="11">
        <v>3818.52</v>
      </c>
      <c r="P40" s="11"/>
      <c r="Q40" s="126">
        <f>SUM(M40:P40)</f>
        <v>3818.52</v>
      </c>
      <c r="S40" s="107">
        <v>3818.52</v>
      </c>
      <c r="V40" s="22">
        <f t="shared" si="0"/>
        <v>3818.52</v>
      </c>
      <c r="W40" s="60"/>
      <c r="X40" s="11">
        <v>518410</v>
      </c>
      <c r="Y40" s="11">
        <v>5184100</v>
      </c>
    </row>
    <row r="41" spans="1:25" x14ac:dyDescent="0.25">
      <c r="A41" s="9" t="s">
        <v>11</v>
      </c>
      <c r="D41" s="25"/>
      <c r="E41" s="9">
        <v>518420</v>
      </c>
      <c r="F41" s="11">
        <v>1000</v>
      </c>
      <c r="I41" s="11"/>
      <c r="J41" s="125">
        <f>SUM(F41:I41)</f>
        <v>1000</v>
      </c>
      <c r="L41" s="9">
        <v>518420</v>
      </c>
      <c r="M41" s="11">
        <v>1139.27</v>
      </c>
      <c r="P41" s="11"/>
      <c r="Q41" s="126">
        <f>SUM(M41:P41)</f>
        <v>1139.27</v>
      </c>
      <c r="S41" s="107">
        <v>1139.27</v>
      </c>
      <c r="V41" s="22">
        <f t="shared" si="0"/>
        <v>1139.27</v>
      </c>
      <c r="W41" s="60"/>
      <c r="X41" s="11">
        <v>518420</v>
      </c>
      <c r="Y41" s="11">
        <v>5184200</v>
      </c>
    </row>
    <row r="42" spans="1:25" x14ac:dyDescent="0.25">
      <c r="A42" s="9" t="s">
        <v>39</v>
      </c>
      <c r="D42" s="25"/>
      <c r="E42" s="9">
        <v>518500</v>
      </c>
      <c r="F42" s="11">
        <v>2600</v>
      </c>
      <c r="G42" s="9">
        <v>2300</v>
      </c>
      <c r="H42" s="9">
        <v>1000</v>
      </c>
      <c r="I42" s="11"/>
      <c r="J42" s="125">
        <f>SUM(F42:I42)</f>
        <v>5900</v>
      </c>
      <c r="L42" s="9">
        <v>518500</v>
      </c>
      <c r="M42" s="11">
        <v>3224.45</v>
      </c>
      <c r="P42" s="11"/>
      <c r="Q42" s="126">
        <f>SUM(M42:P42)</f>
        <v>3224.45</v>
      </c>
      <c r="S42" s="107">
        <v>2700</v>
      </c>
      <c r="V42" s="22">
        <f t="shared" si="0"/>
        <v>2700</v>
      </c>
      <c r="W42" s="60"/>
      <c r="X42" s="11">
        <v>518500</v>
      </c>
      <c r="Y42" s="11">
        <v>5185000</v>
      </c>
    </row>
    <row r="43" spans="1:25" x14ac:dyDescent="0.25">
      <c r="A43" s="9" t="s">
        <v>12</v>
      </c>
      <c r="D43" s="25"/>
      <c r="E43" s="9">
        <v>518700</v>
      </c>
      <c r="F43" s="11">
        <v>200</v>
      </c>
      <c r="I43" s="11"/>
      <c r="J43" s="125">
        <f>SUM(F43:I43)</f>
        <v>200</v>
      </c>
      <c r="L43" s="9">
        <v>518700</v>
      </c>
      <c r="M43" s="11">
        <v>1025.1600000000001</v>
      </c>
      <c r="P43" s="11"/>
      <c r="Q43" s="126">
        <f>SUM(M43:P43)</f>
        <v>1025.1600000000001</v>
      </c>
      <c r="S43" s="53"/>
      <c r="V43" s="22">
        <f t="shared" si="0"/>
        <v>0</v>
      </c>
      <c r="W43" s="22"/>
      <c r="X43" s="11">
        <v>518700</v>
      </c>
    </row>
    <row r="44" spans="1:25" hidden="1" x14ac:dyDescent="0.25">
      <c r="A44" s="9" t="s">
        <v>107</v>
      </c>
      <c r="D44" s="25"/>
      <c r="F44" s="11"/>
      <c r="I44" s="11"/>
      <c r="J44" s="22"/>
      <c r="M44" s="11"/>
      <c r="P44" s="11"/>
      <c r="Q44" s="22"/>
      <c r="S44" s="107">
        <v>500</v>
      </c>
      <c r="V44" s="22">
        <f t="shared" si="0"/>
        <v>500</v>
      </c>
      <c r="W44" s="60"/>
      <c r="X44" s="11">
        <v>518600</v>
      </c>
      <c r="Y44" s="11">
        <v>5186000</v>
      </c>
    </row>
    <row r="45" spans="1:25" x14ac:dyDescent="0.25">
      <c r="A45" s="9" t="s">
        <v>56</v>
      </c>
      <c r="D45" s="25"/>
      <c r="E45" s="9">
        <v>518800</v>
      </c>
      <c r="F45" s="11"/>
      <c r="H45" s="9">
        <v>2000</v>
      </c>
      <c r="I45" s="11"/>
      <c r="J45" s="125">
        <f>SUM(F45:I45)</f>
        <v>2000</v>
      </c>
      <c r="L45" s="9">
        <v>518800</v>
      </c>
      <c r="M45" s="11">
        <v>940</v>
      </c>
      <c r="P45" s="11"/>
      <c r="Q45" s="126">
        <f>SUM(M45:P45)</f>
        <v>940</v>
      </c>
      <c r="S45" s="113"/>
      <c r="U45" s="11">
        <v>770</v>
      </c>
      <c r="V45" s="22">
        <f>SUM(T45:U45)</f>
        <v>770</v>
      </c>
      <c r="W45" s="60"/>
      <c r="X45" s="11">
        <v>518800</v>
      </c>
      <c r="Y45" s="11">
        <v>5188000</v>
      </c>
    </row>
    <row r="46" spans="1:25" hidden="1" x14ac:dyDescent="0.25">
      <c r="A46" s="9" t="s">
        <v>86</v>
      </c>
      <c r="D46" s="25"/>
      <c r="E46" s="9">
        <v>518900</v>
      </c>
      <c r="F46" s="11"/>
      <c r="I46" s="11"/>
      <c r="J46" s="22"/>
      <c r="L46" s="9">
        <v>518900</v>
      </c>
      <c r="M46" s="11">
        <v>7</v>
      </c>
      <c r="O46" s="9">
        <v>3497.5</v>
      </c>
      <c r="P46" s="11"/>
      <c r="Q46" s="126">
        <v>3504.5</v>
      </c>
      <c r="S46" s="53">
        <v>50</v>
      </c>
      <c r="V46" s="22">
        <f t="shared" si="0"/>
        <v>50</v>
      </c>
      <c r="W46" s="60"/>
      <c r="X46" s="11">
        <v>518900</v>
      </c>
      <c r="Y46" s="11">
        <v>5189000</v>
      </c>
    </row>
    <row r="47" spans="1:25" hidden="1" x14ac:dyDescent="0.25">
      <c r="A47" s="9" t="s">
        <v>87</v>
      </c>
      <c r="D47" s="25"/>
      <c r="E47" s="9">
        <v>518910</v>
      </c>
      <c r="F47" s="11"/>
      <c r="I47" s="11"/>
      <c r="J47" s="22"/>
      <c r="L47" s="9">
        <v>518910</v>
      </c>
      <c r="M47" s="11">
        <v>184.99</v>
      </c>
      <c r="N47" s="9">
        <v>150</v>
      </c>
      <c r="P47" s="11"/>
      <c r="Q47" s="126">
        <v>334.99</v>
      </c>
      <c r="S47" s="107">
        <v>200</v>
      </c>
      <c r="U47" s="9">
        <v>150</v>
      </c>
      <c r="V47" s="22">
        <f t="shared" si="0"/>
        <v>350</v>
      </c>
      <c r="W47" s="22"/>
      <c r="X47" s="11">
        <v>518910</v>
      </c>
    </row>
    <row r="48" spans="1:25" hidden="1" x14ac:dyDescent="0.25">
      <c r="A48" s="9" t="s">
        <v>88</v>
      </c>
      <c r="D48" s="25"/>
      <c r="E48" s="9">
        <v>518920</v>
      </c>
      <c r="F48" s="11"/>
      <c r="I48" s="11"/>
      <c r="J48" s="22"/>
      <c r="L48" s="9">
        <v>518920</v>
      </c>
      <c r="M48" s="11"/>
      <c r="N48" s="9">
        <v>259</v>
      </c>
      <c r="P48" s="11"/>
      <c r="Q48" s="127">
        <v>259</v>
      </c>
      <c r="S48" s="53"/>
      <c r="T48" s="9">
        <v>1110</v>
      </c>
      <c r="V48" s="22">
        <f t="shared" si="0"/>
        <v>1110</v>
      </c>
      <c r="W48" s="60"/>
      <c r="X48" s="11">
        <v>518920</v>
      </c>
      <c r="Y48" s="11">
        <v>5189200</v>
      </c>
    </row>
    <row r="49" spans="1:25" x14ac:dyDescent="0.25">
      <c r="A49" s="9" t="s">
        <v>40</v>
      </c>
      <c r="D49" s="25"/>
      <c r="E49" s="9">
        <v>521100</v>
      </c>
      <c r="F49" s="11">
        <v>13000</v>
      </c>
      <c r="G49" s="9">
        <v>25700</v>
      </c>
      <c r="H49" s="9">
        <v>24000</v>
      </c>
      <c r="I49" s="11"/>
      <c r="J49" s="125">
        <f>SUM(F49:I49)</f>
        <v>62700</v>
      </c>
      <c r="L49" s="9">
        <v>521100</v>
      </c>
      <c r="M49" s="11">
        <v>11751.94</v>
      </c>
      <c r="N49" s="9">
        <v>20351.05</v>
      </c>
      <c r="O49" s="9">
        <v>24815.52</v>
      </c>
      <c r="P49" s="11"/>
      <c r="Q49" s="126">
        <v>55016.69</v>
      </c>
      <c r="S49" s="107">
        <f>660*13</f>
        <v>8580</v>
      </c>
      <c r="T49" s="9">
        <f>370*10</f>
        <v>3700</v>
      </c>
      <c r="U49" s="9">
        <f>660*10</f>
        <v>6600</v>
      </c>
      <c r="V49" s="22">
        <f t="shared" si="0"/>
        <v>18880</v>
      </c>
      <c r="W49" s="60"/>
      <c r="X49" s="11">
        <v>521100</v>
      </c>
      <c r="Y49" s="11">
        <v>5211000</v>
      </c>
    </row>
    <row r="50" spans="1:25" x14ac:dyDescent="0.25">
      <c r="A50" s="9" t="s">
        <v>14</v>
      </c>
      <c r="D50" s="25"/>
      <c r="E50" s="9">
        <v>521200</v>
      </c>
      <c r="F50" s="11">
        <v>2000</v>
      </c>
      <c r="H50" s="9">
        <v>3730</v>
      </c>
      <c r="I50" s="11"/>
      <c r="J50" s="125">
        <f>SUM(F50:I50)</f>
        <v>5730</v>
      </c>
      <c r="L50" s="9">
        <v>521200</v>
      </c>
      <c r="M50" s="11">
        <v>4879.0200000000004</v>
      </c>
      <c r="P50" s="11"/>
      <c r="Q50" s="126">
        <f>SUM(M50:P50)</f>
        <v>4879.0200000000004</v>
      </c>
      <c r="S50" s="107">
        <f>200*12</f>
        <v>2400</v>
      </c>
      <c r="V50" s="22">
        <f t="shared" si="0"/>
        <v>2400</v>
      </c>
      <c r="W50" s="60"/>
      <c r="X50" s="11">
        <v>521200</v>
      </c>
      <c r="Y50" s="11">
        <v>5212000</v>
      </c>
    </row>
    <row r="51" spans="1:25" x14ac:dyDescent="0.25">
      <c r="A51" s="9" t="s">
        <v>15</v>
      </c>
      <c r="D51" s="25"/>
      <c r="E51" s="9">
        <v>522100</v>
      </c>
      <c r="F51" s="11">
        <v>25000</v>
      </c>
      <c r="I51" s="11"/>
      <c r="J51" s="125">
        <f>SUM(F51:I51)</f>
        <v>25000</v>
      </c>
      <c r="K51" s="9" t="s">
        <v>95</v>
      </c>
      <c r="L51" s="9" t="s">
        <v>94</v>
      </c>
      <c r="M51" s="11">
        <v>19724.77</v>
      </c>
      <c r="P51" s="11"/>
      <c r="Q51" s="126">
        <v>19724.77</v>
      </c>
      <c r="S51" s="53"/>
      <c r="V51" s="22">
        <f t="shared" si="0"/>
        <v>0</v>
      </c>
      <c r="W51" s="60"/>
      <c r="X51" s="11">
        <v>523100</v>
      </c>
      <c r="Y51" s="11">
        <v>5231000</v>
      </c>
    </row>
    <row r="52" spans="1:25" hidden="1" x14ac:dyDescent="0.25">
      <c r="A52" s="9" t="s">
        <v>120</v>
      </c>
      <c r="D52" s="25"/>
      <c r="F52" s="11"/>
      <c r="I52" s="11"/>
      <c r="J52" s="22"/>
      <c r="M52" s="11"/>
      <c r="P52" s="11"/>
      <c r="Q52" s="22"/>
      <c r="S52" s="107">
        <f>15*3*3*3</f>
        <v>405</v>
      </c>
      <c r="V52" s="22">
        <f t="shared" si="0"/>
        <v>405</v>
      </c>
      <c r="W52" s="60"/>
      <c r="X52" s="11">
        <v>523200</v>
      </c>
      <c r="Y52" s="11">
        <v>5232000</v>
      </c>
    </row>
    <row r="53" spans="1:25" x14ac:dyDescent="0.25">
      <c r="A53" s="9" t="s">
        <v>123</v>
      </c>
      <c r="D53" s="25"/>
      <c r="E53" s="9">
        <v>524100</v>
      </c>
      <c r="F53" s="11">
        <v>4500</v>
      </c>
      <c r="G53" s="9">
        <v>9040</v>
      </c>
      <c r="H53" s="9">
        <v>9270</v>
      </c>
      <c r="I53" s="11"/>
      <c r="J53" s="125">
        <f>SUM(F53:I53)</f>
        <v>22810</v>
      </c>
      <c r="L53" s="9">
        <v>524100</v>
      </c>
      <c r="M53" s="11">
        <v>11359.29</v>
      </c>
      <c r="N53" s="9">
        <v>7146.69</v>
      </c>
      <c r="O53" s="9">
        <v>8412.66</v>
      </c>
      <c r="P53" s="11"/>
      <c r="Q53" s="126">
        <v>26249.21</v>
      </c>
      <c r="S53" s="112">
        <f>(S51+S50+S49)*0.352</f>
        <v>3864.9599999999996</v>
      </c>
      <c r="T53" s="9">
        <f>(T51+T50+T49)*0.352</f>
        <v>1302.3999999999999</v>
      </c>
      <c r="U53" s="9">
        <f>(U51+U50+U49)*0.352</f>
        <v>2323.1999999999998</v>
      </c>
      <c r="V53" s="22">
        <f t="shared" si="0"/>
        <v>7490.5599999999995</v>
      </c>
      <c r="W53" s="60"/>
      <c r="X53" s="11">
        <v>524100</v>
      </c>
      <c r="Y53" s="11">
        <v>5241000</v>
      </c>
    </row>
    <row r="54" spans="1:25" x14ac:dyDescent="0.25">
      <c r="A54" s="9" t="s">
        <v>13</v>
      </c>
      <c r="D54" s="25"/>
      <c r="E54" s="9">
        <v>524100</v>
      </c>
      <c r="F54" s="11">
        <v>500</v>
      </c>
      <c r="H54" s="9">
        <v>1800</v>
      </c>
      <c r="I54" s="11"/>
      <c r="J54" s="125">
        <f>SUM(F54:I54)</f>
        <v>2300</v>
      </c>
      <c r="L54" s="9">
        <v>524110</v>
      </c>
      <c r="M54" s="11">
        <v>564.16999999999996</v>
      </c>
      <c r="N54" s="9">
        <v>16.510000000000002</v>
      </c>
      <c r="O54" s="9">
        <v>321.41000000000003</v>
      </c>
      <c r="P54" s="11"/>
      <c r="Q54" s="126">
        <v>874.42</v>
      </c>
      <c r="S54" s="53"/>
      <c r="V54" s="22">
        <f t="shared" si="0"/>
        <v>0</v>
      </c>
      <c r="W54" s="60"/>
      <c r="X54" s="11">
        <v>524100</v>
      </c>
    </row>
    <row r="55" spans="1:25" x14ac:dyDescent="0.25">
      <c r="A55" s="9" t="s">
        <v>13</v>
      </c>
      <c r="D55" s="25"/>
      <c r="E55" s="9">
        <v>524100</v>
      </c>
      <c r="F55" s="11">
        <v>9000</v>
      </c>
      <c r="I55" s="11"/>
      <c r="J55" s="125">
        <f>SUM(F55:I55)</f>
        <v>9000</v>
      </c>
      <c r="L55" s="9">
        <v>524100</v>
      </c>
      <c r="M55" s="11"/>
      <c r="P55" s="11"/>
      <c r="Q55" s="126">
        <f>SUM(M55:P55)</f>
        <v>0</v>
      </c>
      <c r="S55" s="53"/>
      <c r="V55" s="22">
        <f t="shared" si="0"/>
        <v>0</v>
      </c>
      <c r="W55" s="60"/>
      <c r="X55" s="11">
        <v>524100</v>
      </c>
    </row>
    <row r="56" spans="1:25" x14ac:dyDescent="0.25">
      <c r="A56" s="9" t="s">
        <v>16</v>
      </c>
      <c r="D56" s="25"/>
      <c r="E56" s="9">
        <v>527100</v>
      </c>
      <c r="F56" s="11">
        <v>700</v>
      </c>
      <c r="G56" s="9">
        <v>480</v>
      </c>
      <c r="H56" s="9">
        <v>800</v>
      </c>
      <c r="I56" s="11"/>
      <c r="J56" s="125">
        <f>SUM(F56:I56)</f>
        <v>1980</v>
      </c>
      <c r="L56" s="9">
        <v>527100</v>
      </c>
      <c r="M56" s="11">
        <v>445.83</v>
      </c>
      <c r="N56" s="9">
        <v>316.47000000000003</v>
      </c>
      <c r="O56" s="9">
        <v>940.17</v>
      </c>
      <c r="P56" s="11"/>
      <c r="Q56" s="126">
        <f>SUM(M56:P56)</f>
        <v>1702.4699999999998</v>
      </c>
      <c r="S56" s="107">
        <v>900</v>
      </c>
      <c r="U56" s="27">
        <v>900</v>
      </c>
      <c r="V56" s="22">
        <f t="shared" si="0"/>
        <v>1800</v>
      </c>
      <c r="W56" s="60"/>
      <c r="X56" s="11">
        <v>527210</v>
      </c>
      <c r="Y56" s="11" t="s">
        <v>138</v>
      </c>
    </row>
    <row r="57" spans="1:25" x14ac:dyDescent="0.25">
      <c r="A57" s="9" t="s">
        <v>17</v>
      </c>
      <c r="D57" s="25"/>
      <c r="E57" s="9">
        <v>527200</v>
      </c>
      <c r="F57" s="11">
        <v>600</v>
      </c>
      <c r="I57" s="11"/>
      <c r="J57" s="125">
        <f>SUM(F57:I57)</f>
        <v>600</v>
      </c>
      <c r="L57" s="9">
        <v>527200</v>
      </c>
      <c r="M57" s="11">
        <v>442.75</v>
      </c>
      <c r="P57" s="11"/>
      <c r="Q57" s="126">
        <f>SUM(M57:P57)</f>
        <v>442.75</v>
      </c>
      <c r="S57" s="107">
        <v>200</v>
      </c>
      <c r="V57" s="22">
        <f t="shared" si="0"/>
        <v>200</v>
      </c>
      <c r="W57" s="60"/>
      <c r="X57" s="11">
        <v>527100</v>
      </c>
      <c r="Y57" s="11">
        <v>5271000</v>
      </c>
    </row>
    <row r="58" spans="1:25" hidden="1" x14ac:dyDescent="0.25">
      <c r="A58" s="9" t="s">
        <v>113</v>
      </c>
      <c r="D58" s="25"/>
      <c r="F58" s="11"/>
      <c r="I58" s="11"/>
      <c r="J58" s="22"/>
      <c r="M58" s="11"/>
      <c r="P58" s="11"/>
      <c r="Q58" s="22"/>
      <c r="S58" s="53"/>
      <c r="V58" s="22">
        <f t="shared" si="0"/>
        <v>0</v>
      </c>
      <c r="W58" s="60"/>
      <c r="X58" s="11">
        <v>527300</v>
      </c>
      <c r="Y58" s="11">
        <v>5273000</v>
      </c>
    </row>
    <row r="59" spans="1:25" x14ac:dyDescent="0.25">
      <c r="A59" s="9" t="s">
        <v>18</v>
      </c>
      <c r="D59" s="25"/>
      <c r="E59" s="9">
        <v>538100</v>
      </c>
      <c r="F59" s="11">
        <v>100</v>
      </c>
      <c r="I59" s="11"/>
      <c r="J59" s="125">
        <f>SUM(F59:I59)</f>
        <v>100</v>
      </c>
      <c r="L59" s="9">
        <v>538100</v>
      </c>
      <c r="M59" s="11"/>
      <c r="P59" s="11">
        <v>219.91</v>
      </c>
      <c r="Q59" s="126">
        <f t="shared" ref="Q59:Q69" si="4">SUM(M59:P59)</f>
        <v>219.91</v>
      </c>
      <c r="S59" s="53">
        <v>100</v>
      </c>
      <c r="U59" s="9">
        <v>50</v>
      </c>
      <c r="V59" s="22">
        <f t="shared" si="0"/>
        <v>150</v>
      </c>
      <c r="W59" s="22"/>
      <c r="X59" s="11">
        <v>538100</v>
      </c>
    </row>
    <row r="60" spans="1:25" x14ac:dyDescent="0.25">
      <c r="A60" s="9" t="s">
        <v>19</v>
      </c>
      <c r="D60" s="25"/>
      <c r="E60" s="9">
        <v>538200</v>
      </c>
      <c r="F60" s="11">
        <v>0</v>
      </c>
      <c r="H60" s="9">
        <v>500</v>
      </c>
      <c r="I60" s="11"/>
      <c r="J60" s="125">
        <f>SUM(F60:I60)</f>
        <v>500</v>
      </c>
      <c r="K60" s="9" t="s">
        <v>92</v>
      </c>
      <c r="L60" s="9" t="s">
        <v>93</v>
      </c>
      <c r="M60" s="11">
        <v>4.6100000000000003</v>
      </c>
      <c r="O60" s="9">
        <v>28.5</v>
      </c>
      <c r="P60" s="11"/>
      <c r="Q60" s="126">
        <f t="shared" si="4"/>
        <v>33.11</v>
      </c>
      <c r="S60" s="53"/>
      <c r="V60" s="22">
        <f t="shared" si="0"/>
        <v>0</v>
      </c>
      <c r="W60" s="60"/>
      <c r="X60" s="11">
        <v>538200</v>
      </c>
      <c r="Y60" s="11">
        <v>5382000</v>
      </c>
    </row>
    <row r="61" spans="1:25" hidden="1" x14ac:dyDescent="0.25">
      <c r="A61" s="9" t="s">
        <v>83</v>
      </c>
      <c r="D61" s="25"/>
      <c r="E61" s="9">
        <v>538400</v>
      </c>
      <c r="F61" s="11"/>
      <c r="I61" s="11"/>
      <c r="J61" s="22"/>
      <c r="L61" s="9">
        <v>538400</v>
      </c>
      <c r="M61" s="11">
        <v>55.68</v>
      </c>
      <c r="P61" s="11"/>
      <c r="Q61" s="126">
        <f t="shared" si="4"/>
        <v>55.68</v>
      </c>
      <c r="S61" s="53">
        <v>55.68</v>
      </c>
      <c r="V61" s="22">
        <f t="shared" si="0"/>
        <v>55.68</v>
      </c>
      <c r="W61" s="22"/>
      <c r="X61" s="11">
        <v>538400</v>
      </c>
    </row>
    <row r="62" spans="1:25" hidden="1" x14ac:dyDescent="0.25">
      <c r="A62" s="9" t="s">
        <v>89</v>
      </c>
      <c r="D62" s="25"/>
      <c r="E62" s="9">
        <v>546100</v>
      </c>
      <c r="F62" s="11"/>
      <c r="I62" s="11"/>
      <c r="J62" s="22"/>
      <c r="L62" s="9">
        <v>546100</v>
      </c>
      <c r="M62" s="11">
        <v>939.51</v>
      </c>
      <c r="P62" s="11"/>
      <c r="Q62" s="126">
        <f t="shared" si="4"/>
        <v>939.51</v>
      </c>
      <c r="S62" s="53"/>
      <c r="V62" s="22">
        <f t="shared" si="0"/>
        <v>0</v>
      </c>
      <c r="W62" s="22"/>
      <c r="X62" s="11">
        <v>546100</v>
      </c>
    </row>
    <row r="63" spans="1:25" hidden="1" x14ac:dyDescent="0.25">
      <c r="A63" s="9" t="s">
        <v>90</v>
      </c>
      <c r="D63" s="25"/>
      <c r="E63" s="9">
        <v>547100</v>
      </c>
      <c r="F63" s="11"/>
      <c r="I63" s="11"/>
      <c r="J63" s="22"/>
      <c r="L63" s="9">
        <v>547100</v>
      </c>
      <c r="M63" s="11">
        <v>3109.55</v>
      </c>
      <c r="P63" s="11"/>
      <c r="Q63" s="126">
        <f t="shared" si="4"/>
        <v>3109.55</v>
      </c>
      <c r="S63" s="53">
        <v>1000</v>
      </c>
      <c r="V63" s="22">
        <f t="shared" si="0"/>
        <v>1000</v>
      </c>
      <c r="W63" s="22"/>
      <c r="X63" s="11">
        <v>547100</v>
      </c>
    </row>
    <row r="64" spans="1:25" x14ac:dyDescent="0.25">
      <c r="A64" s="9" t="s">
        <v>20</v>
      </c>
      <c r="D64" s="25"/>
      <c r="E64" s="9">
        <v>548100</v>
      </c>
      <c r="F64" s="11">
        <v>1200</v>
      </c>
      <c r="I64" s="11"/>
      <c r="J64" s="125">
        <f>SUM(F64:I64)</f>
        <v>1200</v>
      </c>
      <c r="L64" s="28" t="s">
        <v>91</v>
      </c>
      <c r="M64" s="11">
        <v>21.93</v>
      </c>
      <c r="N64" s="9">
        <v>-0.06</v>
      </c>
      <c r="P64" s="11"/>
      <c r="Q64" s="126">
        <f t="shared" si="4"/>
        <v>21.87</v>
      </c>
      <c r="R64" s="28"/>
      <c r="S64" s="107">
        <v>180</v>
      </c>
      <c r="V64" s="22">
        <f t="shared" si="0"/>
        <v>180</v>
      </c>
      <c r="W64" s="61"/>
      <c r="X64" s="11">
        <v>548100</v>
      </c>
      <c r="Y64" s="11">
        <v>5481000</v>
      </c>
    </row>
    <row r="65" spans="1:26" x14ac:dyDescent="0.25">
      <c r="A65" s="9" t="s">
        <v>21</v>
      </c>
      <c r="D65" s="25"/>
      <c r="E65" s="9">
        <v>551100</v>
      </c>
      <c r="F65" s="11">
        <v>300</v>
      </c>
      <c r="I65" s="11"/>
      <c r="J65" s="125">
        <f>SUM(F65:I65)</f>
        <v>300</v>
      </c>
      <c r="L65" s="9">
        <v>551100</v>
      </c>
      <c r="M65" s="11">
        <v>695.26</v>
      </c>
      <c r="P65" s="11"/>
      <c r="Q65" s="126">
        <f t="shared" si="4"/>
        <v>695.26</v>
      </c>
      <c r="S65" s="107">
        <v>695.26</v>
      </c>
      <c r="V65" s="22">
        <f t="shared" si="0"/>
        <v>695.26</v>
      </c>
      <c r="W65" s="22"/>
      <c r="X65" s="11">
        <v>551100</v>
      </c>
    </row>
    <row r="66" spans="1:26" x14ac:dyDescent="0.25">
      <c r="A66" s="9" t="s">
        <v>22</v>
      </c>
      <c r="D66" s="25"/>
      <c r="E66" s="9">
        <v>568100</v>
      </c>
      <c r="F66" s="11">
        <v>800</v>
      </c>
      <c r="I66" s="11"/>
      <c r="J66" s="125">
        <f>SUM(F66:I66)</f>
        <v>800</v>
      </c>
      <c r="L66" s="9">
        <v>568100</v>
      </c>
      <c r="M66" s="11">
        <v>946.94</v>
      </c>
      <c r="P66" s="11"/>
      <c r="Q66" s="126">
        <f t="shared" si="4"/>
        <v>946.94</v>
      </c>
      <c r="S66" s="53">
        <f>12*20</f>
        <v>240</v>
      </c>
      <c r="V66" s="22">
        <f t="shared" si="0"/>
        <v>240</v>
      </c>
      <c r="W66" s="60"/>
      <c r="X66" s="11">
        <v>568100</v>
      </c>
      <c r="Y66" s="11">
        <v>5681000</v>
      </c>
    </row>
    <row r="67" spans="1:26" x14ac:dyDescent="0.25">
      <c r="A67" s="9" t="s">
        <v>77</v>
      </c>
      <c r="D67" s="25"/>
      <c r="E67" s="9">
        <v>568100</v>
      </c>
      <c r="F67" s="11">
        <v>4000</v>
      </c>
      <c r="I67" s="24"/>
      <c r="J67" s="125">
        <f>SUM(F67:I67)</f>
        <v>4000</v>
      </c>
      <c r="L67" s="28" t="s">
        <v>96</v>
      </c>
      <c r="M67" s="11">
        <v>70.459999999999994</v>
      </c>
      <c r="P67" s="24"/>
      <c r="Q67" s="126">
        <f t="shared" si="4"/>
        <v>70.459999999999994</v>
      </c>
      <c r="R67" s="28"/>
      <c r="S67" s="53"/>
      <c r="V67" s="22">
        <f t="shared" si="0"/>
        <v>0</v>
      </c>
      <c r="W67" s="61"/>
      <c r="X67" s="11">
        <v>568100</v>
      </c>
    </row>
    <row r="68" spans="1:26" hidden="1" x14ac:dyDescent="0.25">
      <c r="A68" s="9" t="s">
        <v>132</v>
      </c>
      <c r="D68" s="25"/>
      <c r="F68" s="11"/>
      <c r="I68" s="24"/>
      <c r="L68" s="28"/>
      <c r="M68" s="11"/>
      <c r="P68" s="24"/>
      <c r="Q68" s="22"/>
      <c r="R68" s="28"/>
      <c r="S68" s="107">
        <f>12*28</f>
        <v>336</v>
      </c>
      <c r="V68" s="22">
        <f t="shared" si="0"/>
        <v>336</v>
      </c>
      <c r="W68" s="61"/>
    </row>
    <row r="69" spans="1:26" x14ac:dyDescent="0.25">
      <c r="A69" s="10" t="s">
        <v>23</v>
      </c>
      <c r="B69" s="10"/>
      <c r="C69" s="10"/>
      <c r="D69" s="29"/>
      <c r="E69" s="10">
        <v>568300</v>
      </c>
      <c r="F69" s="30">
        <v>200</v>
      </c>
      <c r="I69" s="30"/>
      <c r="J69" s="55">
        <f>SUM(F69:I69)</f>
        <v>200</v>
      </c>
      <c r="L69" s="10">
        <v>548200</v>
      </c>
      <c r="M69" s="30">
        <v>142.02000000000001</v>
      </c>
      <c r="P69" s="30"/>
      <c r="Q69" s="126">
        <f t="shared" si="4"/>
        <v>142.02000000000001</v>
      </c>
      <c r="R69" s="10"/>
      <c r="S69" s="54">
        <f>288</f>
        <v>288</v>
      </c>
      <c r="T69" s="10"/>
      <c r="U69" s="31"/>
      <c r="V69" s="22">
        <f t="shared" si="0"/>
        <v>288</v>
      </c>
      <c r="W69" s="62"/>
      <c r="X69" s="11">
        <v>568300</v>
      </c>
    </row>
    <row r="70" spans="1:26" x14ac:dyDescent="0.25">
      <c r="A70" s="32" t="s">
        <v>42</v>
      </c>
      <c r="B70" s="32"/>
      <c r="C70" s="32"/>
      <c r="D70" s="32"/>
      <c r="E70" s="32"/>
      <c r="F70" s="32">
        <f>SUM(F4:F69)</f>
        <v>88750</v>
      </c>
      <c r="G70" s="32">
        <f>SUM(G4:G69)</f>
        <v>70230</v>
      </c>
      <c r="H70" s="32">
        <f>SUM(H4:H69)</f>
        <v>205150</v>
      </c>
      <c r="I70" s="33"/>
      <c r="J70" s="32">
        <f>SUM(J4:J69)</f>
        <v>364130</v>
      </c>
      <c r="K70" s="23">
        <f>F70+G70+H70</f>
        <v>364130</v>
      </c>
      <c r="L70" s="32"/>
      <c r="M70" s="33">
        <f>SUM(M69:M69)</f>
        <v>142.02000000000001</v>
      </c>
      <c r="N70" s="32">
        <f>SUM(N69:N69)</f>
        <v>0</v>
      </c>
      <c r="O70" s="32">
        <f>SUM(O69:O69)</f>
        <v>0</v>
      </c>
      <c r="P70" s="33"/>
      <c r="Q70" s="32">
        <f>SUM(Q4:Q69)</f>
        <v>240551.47999999998</v>
      </c>
      <c r="R70" s="32"/>
      <c r="S70" s="33">
        <f>SUM(S6:S69)</f>
        <v>42436.69</v>
      </c>
      <c r="T70" s="33">
        <f>SUM(T6:T69)</f>
        <v>13445.16</v>
      </c>
      <c r="U70" s="33">
        <f>SUM(U6:U69)</f>
        <v>118823.2</v>
      </c>
      <c r="V70" s="33">
        <f>SUM(V6:V69)</f>
        <v>174705.05</v>
      </c>
      <c r="W70" s="33">
        <f>SUM(W6:W69)</f>
        <v>0</v>
      </c>
      <c r="X70" s="12"/>
      <c r="Y70" s="12"/>
    </row>
    <row r="71" spans="1:26" x14ac:dyDescent="0.25">
      <c r="A71" s="13"/>
      <c r="B71" s="13"/>
      <c r="C71" s="13"/>
      <c r="D71" s="13"/>
      <c r="E71" s="16"/>
      <c r="F71" s="34"/>
      <c r="G71" s="14"/>
      <c r="H71" s="13"/>
      <c r="I71" s="35"/>
      <c r="J71" s="14"/>
      <c r="K71" s="23"/>
      <c r="L71" s="13"/>
      <c r="M71" s="34"/>
      <c r="N71" s="14"/>
      <c r="O71" s="13"/>
      <c r="P71" s="35"/>
      <c r="Q71" s="14"/>
      <c r="R71" s="13"/>
      <c r="S71" s="36"/>
      <c r="T71" s="36"/>
      <c r="U71" s="34"/>
      <c r="V71" s="36"/>
      <c r="W71" s="36"/>
      <c r="X71" s="12"/>
      <c r="Y71" s="12"/>
    </row>
    <row r="72" spans="1:26" x14ac:dyDescent="0.25">
      <c r="A72" s="13" t="s">
        <v>44</v>
      </c>
      <c r="G72" s="22"/>
      <c r="I72" s="24"/>
      <c r="J72" s="22"/>
      <c r="N72" s="22"/>
      <c r="P72" s="24"/>
      <c r="Q72" s="22"/>
      <c r="S72" s="22"/>
      <c r="T72" s="22"/>
      <c r="V72" s="22"/>
      <c r="W72" s="22"/>
    </row>
    <row r="73" spans="1:26" x14ac:dyDescent="0.25">
      <c r="A73" s="9" t="s">
        <v>45</v>
      </c>
      <c r="B73" s="9" t="s">
        <v>46</v>
      </c>
      <c r="E73" s="27">
        <v>602200</v>
      </c>
      <c r="G73" s="22">
        <v>33140</v>
      </c>
      <c r="I73" s="24"/>
      <c r="J73" s="22">
        <f t="shared" ref="J73:J84" si="5">SUM(G73:I73)</f>
        <v>33140</v>
      </c>
      <c r="L73" s="9">
        <v>602200</v>
      </c>
      <c r="N73" s="22">
        <v>33592.660000000003</v>
      </c>
      <c r="P73" s="24"/>
      <c r="Q73" s="22">
        <f t="shared" ref="Q73:Q84" si="6">SUM(N73:P73)</f>
        <v>33592.660000000003</v>
      </c>
      <c r="S73" s="22"/>
      <c r="T73" s="22">
        <f>86.6*320</f>
        <v>27712</v>
      </c>
      <c r="V73" s="22">
        <f t="shared" ref="V73:V85" si="7">SUM(T73:U73)</f>
        <v>27712</v>
      </c>
      <c r="W73" s="60"/>
      <c r="X73" s="11">
        <v>602200</v>
      </c>
      <c r="Y73" s="11">
        <v>6022100</v>
      </c>
      <c r="Z73" s="37"/>
    </row>
    <row r="74" spans="1:26" x14ac:dyDescent="0.25">
      <c r="A74" s="9" t="s">
        <v>45</v>
      </c>
      <c r="B74" s="9" t="s">
        <v>47</v>
      </c>
      <c r="E74" s="27">
        <v>602220</v>
      </c>
      <c r="G74" s="22">
        <v>7000</v>
      </c>
      <c r="I74" s="24"/>
      <c r="J74" s="22">
        <f t="shared" si="5"/>
        <v>7000</v>
      </c>
      <c r="L74" s="9">
        <v>602220</v>
      </c>
      <c r="N74" s="22">
        <v>1352.76</v>
      </c>
      <c r="P74" s="24"/>
      <c r="Q74" s="22">
        <f t="shared" si="6"/>
        <v>1352.76</v>
      </c>
      <c r="S74" s="22"/>
      <c r="T74" s="22">
        <v>3500</v>
      </c>
      <c r="V74" s="22">
        <f t="shared" si="7"/>
        <v>3500</v>
      </c>
      <c r="W74" s="60"/>
      <c r="X74" s="11">
        <v>602220</v>
      </c>
      <c r="Y74" s="11">
        <v>6022200</v>
      </c>
    </row>
    <row r="75" spans="1:26" x14ac:dyDescent="0.25">
      <c r="A75" s="9" t="s">
        <v>45</v>
      </c>
      <c r="B75" s="9" t="s">
        <v>48</v>
      </c>
      <c r="E75" s="27">
        <v>602230</v>
      </c>
      <c r="G75" s="22">
        <v>26603</v>
      </c>
      <c r="I75" s="24"/>
      <c r="J75" s="171">
        <f t="shared" si="5"/>
        <v>26603</v>
      </c>
      <c r="L75" s="9">
        <v>602230</v>
      </c>
      <c r="N75" s="22">
        <v>17735.54</v>
      </c>
      <c r="P75" s="24"/>
      <c r="Q75" s="171">
        <f t="shared" si="6"/>
        <v>17735.54</v>
      </c>
      <c r="S75" s="22"/>
      <c r="T75" s="22"/>
      <c r="U75" s="22">
        <v>3000</v>
      </c>
      <c r="V75" s="22">
        <f t="shared" si="7"/>
        <v>3000</v>
      </c>
      <c r="W75" s="22"/>
      <c r="X75" s="11">
        <v>602230</v>
      </c>
      <c r="Y75" s="11">
        <v>6022300</v>
      </c>
    </row>
    <row r="76" spans="1:26" x14ac:dyDescent="0.25">
      <c r="A76" s="9" t="s">
        <v>45</v>
      </c>
      <c r="B76" s="9" t="s">
        <v>49</v>
      </c>
      <c r="E76" s="27">
        <v>602500</v>
      </c>
      <c r="G76" s="22">
        <v>2500</v>
      </c>
      <c r="I76" s="24"/>
      <c r="J76" s="125">
        <f t="shared" si="5"/>
        <v>2500</v>
      </c>
      <c r="L76" s="9">
        <v>602500</v>
      </c>
      <c r="N76" s="22"/>
      <c r="O76" s="9">
        <v>23880.59</v>
      </c>
      <c r="P76" s="24"/>
      <c r="Q76" s="171">
        <f t="shared" si="6"/>
        <v>23880.59</v>
      </c>
      <c r="S76" s="22"/>
      <c r="T76" s="22"/>
      <c r="V76" s="22">
        <f t="shared" si="7"/>
        <v>0</v>
      </c>
      <c r="W76" s="22"/>
      <c r="X76" s="11">
        <v>602500</v>
      </c>
    </row>
    <row r="77" spans="1:26" x14ac:dyDescent="0.25">
      <c r="A77" s="9" t="s">
        <v>45</v>
      </c>
      <c r="B77" s="9" t="s">
        <v>51</v>
      </c>
      <c r="E77" s="27">
        <v>602233</v>
      </c>
      <c r="G77" s="22"/>
      <c r="I77" s="24"/>
      <c r="J77" s="22">
        <f t="shared" si="5"/>
        <v>0</v>
      </c>
      <c r="L77" s="9">
        <v>602233</v>
      </c>
      <c r="N77" s="22"/>
      <c r="P77" s="24"/>
      <c r="Q77" s="22">
        <f t="shared" si="6"/>
        <v>0</v>
      </c>
      <c r="S77" s="22"/>
      <c r="T77" s="22"/>
      <c r="V77" s="22">
        <f t="shared" si="7"/>
        <v>0</v>
      </c>
      <c r="W77" s="22"/>
      <c r="X77" s="11">
        <v>602233</v>
      </c>
    </row>
    <row r="78" spans="1:26" x14ac:dyDescent="0.25">
      <c r="A78" s="9" t="s">
        <v>45</v>
      </c>
      <c r="B78" s="9" t="s">
        <v>57</v>
      </c>
      <c r="E78" s="27">
        <v>602100</v>
      </c>
      <c r="G78" s="22"/>
      <c r="H78" s="9">
        <v>140000</v>
      </c>
      <c r="I78" s="24"/>
      <c r="J78" s="22">
        <f t="shared" si="5"/>
        <v>140000</v>
      </c>
      <c r="L78" s="9">
        <v>602100</v>
      </c>
      <c r="N78" s="22"/>
      <c r="O78" s="9">
        <v>130076.94</v>
      </c>
      <c r="P78" s="24"/>
      <c r="Q78" s="22">
        <f t="shared" si="6"/>
        <v>130076.94</v>
      </c>
      <c r="S78" s="22"/>
      <c r="T78" s="22"/>
      <c r="V78" s="22">
        <f t="shared" si="7"/>
        <v>0</v>
      </c>
      <c r="W78" s="22"/>
      <c r="X78" s="11">
        <v>602100</v>
      </c>
    </row>
    <row r="79" spans="1:26" x14ac:dyDescent="0.25">
      <c r="A79" s="9" t="s">
        <v>45</v>
      </c>
      <c r="B79" s="9" t="s">
        <v>58</v>
      </c>
      <c r="E79" s="27">
        <v>602100</v>
      </c>
      <c r="G79" s="22"/>
      <c r="H79" s="9">
        <v>18000</v>
      </c>
      <c r="I79" s="24"/>
      <c r="J79" s="22">
        <f t="shared" si="5"/>
        <v>18000</v>
      </c>
      <c r="L79" s="9">
        <v>602100</v>
      </c>
      <c r="N79" s="22"/>
      <c r="O79" s="9">
        <v>21033.61</v>
      </c>
      <c r="P79" s="24"/>
      <c r="Q79" s="22">
        <f t="shared" si="6"/>
        <v>21033.61</v>
      </c>
      <c r="S79" s="22"/>
      <c r="T79" s="22"/>
      <c r="U79" s="9">
        <f>80*132.5*2</f>
        <v>21200</v>
      </c>
      <c r="V79" s="22">
        <f t="shared" si="7"/>
        <v>21200</v>
      </c>
      <c r="W79" s="22"/>
      <c r="X79" s="11">
        <v>602100</v>
      </c>
    </row>
    <row r="80" spans="1:26" x14ac:dyDescent="0.25">
      <c r="A80" s="9" t="s">
        <v>45</v>
      </c>
      <c r="B80" s="9" t="s">
        <v>59</v>
      </c>
      <c r="E80" s="27">
        <v>602111</v>
      </c>
      <c r="G80" s="22"/>
      <c r="H80" s="9">
        <v>20833</v>
      </c>
      <c r="I80" s="24"/>
      <c r="J80" s="171">
        <f t="shared" si="5"/>
        <v>20833</v>
      </c>
      <c r="L80" s="9">
        <v>602111</v>
      </c>
      <c r="N80" s="22"/>
      <c r="P80" s="24"/>
      <c r="Q80" s="22">
        <f t="shared" si="6"/>
        <v>0</v>
      </c>
      <c r="S80" s="22"/>
      <c r="T80" s="22"/>
      <c r="V80" s="22">
        <f t="shared" si="7"/>
        <v>0</v>
      </c>
      <c r="W80" s="22"/>
      <c r="X80" s="11">
        <v>602111</v>
      </c>
    </row>
    <row r="81" spans="1:25" x14ac:dyDescent="0.25">
      <c r="A81" s="9" t="s">
        <v>45</v>
      </c>
      <c r="B81" s="9" t="s">
        <v>127</v>
      </c>
      <c r="E81" s="27">
        <v>602120</v>
      </c>
      <c r="G81" s="22"/>
      <c r="H81" s="9">
        <v>60000</v>
      </c>
      <c r="I81" s="11"/>
      <c r="J81" s="22">
        <f t="shared" si="5"/>
        <v>60000</v>
      </c>
      <c r="L81" s="9">
        <v>602120</v>
      </c>
      <c r="M81" s="11"/>
      <c r="N81" s="22"/>
      <c r="O81" s="9">
        <v>45791.78</v>
      </c>
      <c r="P81" s="11"/>
      <c r="Q81" s="22">
        <f t="shared" si="6"/>
        <v>45791.78</v>
      </c>
      <c r="S81" s="22"/>
      <c r="T81" s="22"/>
      <c r="U81" s="9">
        <f>15*1000</f>
        <v>15000</v>
      </c>
      <c r="V81" s="22">
        <f t="shared" si="7"/>
        <v>15000</v>
      </c>
      <c r="W81" s="22"/>
      <c r="X81" s="11">
        <v>602120</v>
      </c>
    </row>
    <row r="82" spans="1:25" x14ac:dyDescent="0.25">
      <c r="A82" s="9" t="s">
        <v>45</v>
      </c>
      <c r="B82" s="9" t="s">
        <v>30</v>
      </c>
      <c r="E82" s="27">
        <v>602110</v>
      </c>
      <c r="G82" s="22"/>
      <c r="H82" s="9">
        <v>28000</v>
      </c>
      <c r="I82" s="11"/>
      <c r="J82" s="22">
        <f t="shared" si="5"/>
        <v>28000</v>
      </c>
      <c r="L82" s="9">
        <v>602110</v>
      </c>
      <c r="M82" s="11"/>
      <c r="N82" s="22"/>
      <c r="O82" s="9">
        <v>29762.77</v>
      </c>
      <c r="P82" s="11"/>
      <c r="Q82" s="22">
        <f t="shared" si="6"/>
        <v>29762.77</v>
      </c>
      <c r="S82" s="22"/>
      <c r="T82" s="22"/>
      <c r="U82" s="9">
        <f>40*22*70</f>
        <v>61600</v>
      </c>
      <c r="V82" s="22">
        <f t="shared" si="7"/>
        <v>61600</v>
      </c>
      <c r="W82" s="60"/>
      <c r="X82" s="11">
        <v>602300</v>
      </c>
    </row>
    <row r="83" spans="1:25" x14ac:dyDescent="0.25">
      <c r="A83" s="9" t="s">
        <v>45</v>
      </c>
      <c r="B83" s="9" t="s">
        <v>80</v>
      </c>
      <c r="E83" s="9" t="s">
        <v>81</v>
      </c>
      <c r="F83" s="11"/>
      <c r="G83" s="22"/>
      <c r="I83" s="11"/>
      <c r="J83" s="22">
        <f t="shared" si="5"/>
        <v>0</v>
      </c>
      <c r="L83" s="9" t="s">
        <v>81</v>
      </c>
      <c r="M83" s="11"/>
      <c r="N83" s="22"/>
      <c r="P83" s="11"/>
      <c r="Q83" s="22">
        <f t="shared" si="6"/>
        <v>0</v>
      </c>
      <c r="S83" s="11"/>
      <c r="T83" s="22"/>
      <c r="U83" s="9">
        <f>23000+6000</f>
        <v>29000</v>
      </c>
      <c r="V83" s="22">
        <f t="shared" si="7"/>
        <v>29000</v>
      </c>
      <c r="W83" s="22"/>
      <c r="X83" s="11" t="s">
        <v>81</v>
      </c>
    </row>
    <row r="84" spans="1:25" x14ac:dyDescent="0.25">
      <c r="A84" s="9" t="s">
        <v>45</v>
      </c>
      <c r="B84" s="9" t="s">
        <v>125</v>
      </c>
      <c r="E84" s="9" t="s">
        <v>81</v>
      </c>
      <c r="F84" s="11"/>
      <c r="G84" s="22"/>
      <c r="H84" s="9">
        <v>5000</v>
      </c>
      <c r="I84" s="11"/>
      <c r="J84" s="22">
        <f t="shared" si="5"/>
        <v>5000</v>
      </c>
      <c r="L84" s="9" t="s">
        <v>81</v>
      </c>
      <c r="M84" s="11"/>
      <c r="N84" s="22"/>
      <c r="O84" s="9">
        <v>962.5</v>
      </c>
      <c r="P84" s="11"/>
      <c r="Q84" s="22">
        <f t="shared" si="6"/>
        <v>962.5</v>
      </c>
      <c r="S84" s="11"/>
      <c r="T84" s="22"/>
      <c r="U84" s="9">
        <f>2*80*165</f>
        <v>26400</v>
      </c>
      <c r="V84" s="22">
        <f t="shared" si="7"/>
        <v>26400</v>
      </c>
      <c r="W84" s="22"/>
      <c r="X84" s="11" t="s">
        <v>81</v>
      </c>
    </row>
    <row r="85" spans="1:25" ht="15.75" customHeight="1" x14ac:dyDescent="0.25">
      <c r="A85" s="9" t="s">
        <v>45</v>
      </c>
      <c r="B85" s="9" t="s">
        <v>126</v>
      </c>
      <c r="F85" s="11"/>
      <c r="G85" s="22"/>
      <c r="I85" s="11"/>
      <c r="J85" s="11"/>
      <c r="M85" s="11"/>
      <c r="N85" s="22"/>
      <c r="P85" s="11"/>
      <c r="Q85" s="11"/>
      <c r="S85" s="11"/>
      <c r="T85" s="22">
        <v>1899.76</v>
      </c>
      <c r="V85" s="22">
        <f t="shared" si="7"/>
        <v>1899.76</v>
      </c>
      <c r="W85" s="22"/>
    </row>
    <row r="86" spans="1:25" ht="15.75" customHeight="1" x14ac:dyDescent="0.25">
      <c r="A86" s="9" t="s">
        <v>139</v>
      </c>
      <c r="F86" s="11"/>
      <c r="G86" s="22"/>
      <c r="I86" s="11"/>
      <c r="J86" s="11"/>
      <c r="M86" s="11"/>
      <c r="N86" s="22"/>
      <c r="P86" s="11"/>
      <c r="Q86" s="11"/>
      <c r="S86" s="11"/>
      <c r="T86" s="22"/>
      <c r="V86" s="22"/>
      <c r="W86" s="60"/>
      <c r="Y86" s="11">
        <v>6482000</v>
      </c>
    </row>
    <row r="87" spans="1:25" x14ac:dyDescent="0.25">
      <c r="A87" s="38" t="s">
        <v>124</v>
      </c>
      <c r="B87" s="39"/>
      <c r="C87" s="39"/>
      <c r="D87" s="39"/>
      <c r="E87" s="39"/>
      <c r="F87" s="32">
        <f>SUM(F73:F82)</f>
        <v>0</v>
      </c>
      <c r="G87" s="32">
        <f>SUM(G73:G82)</f>
        <v>69243</v>
      </c>
      <c r="H87" s="40">
        <f>SUM(H73:H84)</f>
        <v>271833</v>
      </c>
      <c r="I87" s="40"/>
      <c r="J87" s="40">
        <f>SUM(J73:J84)</f>
        <v>341076</v>
      </c>
      <c r="K87" s="23">
        <f>F87+G87+H87</f>
        <v>341076</v>
      </c>
      <c r="L87" s="39"/>
      <c r="M87" s="32">
        <v>20.29</v>
      </c>
      <c r="N87" s="32">
        <f>SUM(N73:N82)</f>
        <v>52680.960000000006</v>
      </c>
      <c r="O87" s="40">
        <f>SUM(O73:O84)</f>
        <v>251508.19</v>
      </c>
      <c r="P87" s="40"/>
      <c r="Q87" s="40">
        <f>SUM(Q73:Q84)</f>
        <v>304189.15000000002</v>
      </c>
      <c r="R87" s="39"/>
      <c r="S87" s="32"/>
      <c r="T87" s="41">
        <f>SUM(T73:T85)</f>
        <v>33111.760000000002</v>
      </c>
      <c r="U87" s="42">
        <f>SUM(U73:U84)</f>
        <v>156200</v>
      </c>
      <c r="V87" s="42">
        <f>SUM(V73:V85)</f>
        <v>189311.76</v>
      </c>
      <c r="W87" s="63">
        <f>SUM(W72:W86)</f>
        <v>0</v>
      </c>
      <c r="X87" s="12"/>
      <c r="Y87" s="12"/>
    </row>
    <row r="88" spans="1:25" x14ac:dyDescent="0.25">
      <c r="A88" s="9" t="s">
        <v>27</v>
      </c>
      <c r="E88" s="9">
        <v>699</v>
      </c>
      <c r="F88" s="11">
        <v>84750</v>
      </c>
      <c r="G88" s="22">
        <v>2380</v>
      </c>
      <c r="I88" s="11"/>
      <c r="J88" s="171">
        <f>SUM(F88:I88)</f>
        <v>87130</v>
      </c>
      <c r="L88" s="9">
        <v>699</v>
      </c>
      <c r="M88" s="11"/>
      <c r="N88" s="22"/>
      <c r="P88" s="11"/>
      <c r="Q88" s="22">
        <v>20.29</v>
      </c>
      <c r="R88" s="9">
        <v>699</v>
      </c>
      <c r="S88" s="11"/>
      <c r="T88" s="22"/>
      <c r="V88" s="22"/>
      <c r="W88" s="22"/>
    </row>
    <row r="89" spans="1:25" x14ac:dyDescent="0.25">
      <c r="A89" s="43" t="s">
        <v>50</v>
      </c>
      <c r="B89" s="43"/>
      <c r="C89" s="43"/>
      <c r="D89" s="43"/>
      <c r="E89" s="43"/>
      <c r="F89" s="43">
        <f>SUM(F87:F88)</f>
        <v>84750</v>
      </c>
      <c r="G89" s="43">
        <f>SUM(G87:G88)</f>
        <v>71623</v>
      </c>
      <c r="H89" s="44">
        <f>SUM(H87:H88)</f>
        <v>271833</v>
      </c>
      <c r="I89" s="43"/>
      <c r="J89" s="44">
        <f>SUM(J87:J88)</f>
        <v>428206</v>
      </c>
      <c r="K89" s="45">
        <f>F89+G89+H89</f>
        <v>428206</v>
      </c>
      <c r="L89" s="43"/>
      <c r="M89" s="43">
        <f>SUM(M87:M88)</f>
        <v>20.29</v>
      </c>
      <c r="N89" s="43">
        <f>SUM(N87:N88)</f>
        <v>52680.960000000006</v>
      </c>
      <c r="O89" s="44">
        <f>SUM(O87:O88)</f>
        <v>251508.19</v>
      </c>
      <c r="P89" s="43"/>
      <c r="Q89" s="44">
        <f>SUM(Q87:Q88)</f>
        <v>304209.44</v>
      </c>
      <c r="R89" s="43"/>
      <c r="S89" s="47">
        <f>SUM(S87:S88)</f>
        <v>0</v>
      </c>
      <c r="T89" s="46">
        <f t="shared" ref="T89:W89" si="8">SUM(T87:T88)</f>
        <v>33111.760000000002</v>
      </c>
      <c r="U89" s="46">
        <f t="shared" si="8"/>
        <v>156200</v>
      </c>
      <c r="V89" s="46">
        <f t="shared" si="8"/>
        <v>189311.76</v>
      </c>
      <c r="W89" s="47">
        <f t="shared" si="8"/>
        <v>0</v>
      </c>
      <c r="X89" s="12"/>
      <c r="Y89" s="12"/>
    </row>
    <row r="90" spans="1:25" x14ac:dyDescent="0.25">
      <c r="A90" s="43" t="s">
        <v>42</v>
      </c>
      <c r="B90" s="43"/>
      <c r="C90" s="43"/>
      <c r="D90" s="43"/>
      <c r="E90" s="43"/>
      <c r="F90" s="43"/>
      <c r="G90" s="43"/>
      <c r="H90" s="44"/>
      <c r="I90" s="43"/>
      <c r="J90" s="44">
        <f>J70</f>
        <v>364130</v>
      </c>
      <c r="K90" s="45"/>
      <c r="L90" s="43"/>
      <c r="M90" s="43"/>
      <c r="N90" s="43"/>
      <c r="O90" s="44"/>
      <c r="P90" s="43"/>
      <c r="Q90" s="44">
        <f>Q70</f>
        <v>240551.47999999998</v>
      </c>
      <c r="R90" s="43"/>
      <c r="S90" s="47">
        <f>S70</f>
        <v>42436.69</v>
      </c>
      <c r="T90" s="46">
        <f>T70</f>
        <v>13445.16</v>
      </c>
      <c r="U90" s="46">
        <f>U70</f>
        <v>118823.2</v>
      </c>
      <c r="V90" s="46">
        <f>V70</f>
        <v>174705.05</v>
      </c>
      <c r="W90" s="47">
        <f>W70</f>
        <v>0</v>
      </c>
      <c r="X90" s="12"/>
      <c r="Y90" s="12"/>
    </row>
    <row r="91" spans="1:25" x14ac:dyDescent="0.25">
      <c r="A91" s="32" t="s">
        <v>25</v>
      </c>
      <c r="B91" s="32"/>
      <c r="C91" s="32" t="s">
        <v>36</v>
      </c>
      <c r="D91" s="32"/>
      <c r="E91" s="32"/>
      <c r="F91" s="33">
        <f>F89-F70</f>
        <v>-4000</v>
      </c>
      <c r="G91" s="33">
        <f>G89-G70</f>
        <v>1393</v>
      </c>
      <c r="H91" s="33">
        <f>H89-H70</f>
        <v>66683</v>
      </c>
      <c r="I91" s="33"/>
      <c r="J91" s="33">
        <f>J89-J70</f>
        <v>64076</v>
      </c>
      <c r="K91" s="23">
        <f>F91+G91+H91</f>
        <v>64076</v>
      </c>
      <c r="L91" s="32"/>
      <c r="M91" s="33">
        <f>M89-M70</f>
        <v>-121.73000000000002</v>
      </c>
      <c r="N91" s="33">
        <f>N89-N70</f>
        <v>52680.960000000006</v>
      </c>
      <c r="O91" s="33">
        <f>O89-O70</f>
        <v>251508.19</v>
      </c>
      <c r="P91" s="33"/>
      <c r="Q91" s="33">
        <f>Q89-Q70</f>
        <v>63657.960000000021</v>
      </c>
      <c r="R91" s="32"/>
      <c r="S91" s="47">
        <f>S89-S70</f>
        <v>-42436.69</v>
      </c>
      <c r="T91" s="47">
        <f>T89-T70</f>
        <v>19666.600000000002</v>
      </c>
      <c r="U91" s="47">
        <f>U89-U70</f>
        <v>37376.800000000003</v>
      </c>
      <c r="V91" s="47">
        <f>V89-V70</f>
        <v>14606.710000000021</v>
      </c>
      <c r="W91" s="47">
        <f>W89+W70</f>
        <v>0</v>
      </c>
      <c r="X91" s="12"/>
      <c r="Y91" s="12"/>
    </row>
    <row r="92" spans="1:25" x14ac:dyDescent="0.25">
      <c r="A92" s="41" t="s">
        <v>34</v>
      </c>
      <c r="B92" s="41"/>
      <c r="C92" s="41"/>
      <c r="D92" s="41"/>
      <c r="E92" s="41"/>
      <c r="F92" s="41"/>
      <c r="G92" s="41"/>
      <c r="H92" s="41"/>
      <c r="I92" s="48"/>
      <c r="J92" s="41">
        <v>-2400</v>
      </c>
      <c r="L92" s="41"/>
      <c r="M92" s="41"/>
      <c r="N92" s="41"/>
      <c r="O92" s="41"/>
      <c r="P92" s="48"/>
      <c r="Q92" s="41">
        <v>-3087.41</v>
      </c>
      <c r="R92" s="41"/>
      <c r="S92" s="49"/>
      <c r="T92" s="49"/>
      <c r="U92" s="49"/>
      <c r="V92" s="49">
        <f>SUM(V91*0.23)</f>
        <v>3359.5433000000048</v>
      </c>
      <c r="W92" s="49"/>
    </row>
    <row r="93" spans="1:25" ht="15.75" x14ac:dyDescent="0.25">
      <c r="A93" s="43" t="s">
        <v>35</v>
      </c>
      <c r="B93" s="43"/>
      <c r="C93" s="32"/>
      <c r="D93" s="32"/>
      <c r="E93" s="32"/>
      <c r="F93" s="33"/>
      <c r="G93" s="33"/>
      <c r="H93" s="33"/>
      <c r="I93" s="33"/>
      <c r="J93" s="33">
        <f>SUM(J91:J92)</f>
        <v>61676</v>
      </c>
      <c r="L93" s="32"/>
      <c r="M93" s="33"/>
      <c r="N93" s="33"/>
      <c r="O93" s="33"/>
      <c r="P93" s="33"/>
      <c r="Q93" s="33">
        <f>SUM(Q91:Q92)</f>
        <v>60570.550000000017</v>
      </c>
      <c r="R93" s="32"/>
      <c r="S93" s="47"/>
      <c r="T93" s="47"/>
      <c r="U93" s="47"/>
      <c r="V93" s="50">
        <f>SUM(V91-V92)</f>
        <v>11247.166700000016</v>
      </c>
      <c r="W93" s="47"/>
      <c r="X93" s="12"/>
      <c r="Y93" s="12"/>
    </row>
    <row r="94" spans="1:25" x14ac:dyDescent="0.25">
      <c r="A94" s="13"/>
      <c r="B94" s="13"/>
      <c r="C94" s="13"/>
      <c r="D94" s="13"/>
      <c r="E94" s="13"/>
      <c r="F94" s="34"/>
      <c r="G94" s="34"/>
      <c r="H94" s="34"/>
      <c r="I94" s="34"/>
      <c r="J94" s="34"/>
      <c r="S94" s="9"/>
      <c r="W94" s="51"/>
      <c r="X94" s="13"/>
      <c r="Y94" s="13"/>
    </row>
    <row r="95" spans="1:25" x14ac:dyDescent="0.25">
      <c r="A95" s="13"/>
      <c r="S95" s="9"/>
      <c r="X95" s="9"/>
      <c r="Y95" s="9"/>
    </row>
    <row r="96" spans="1:25" x14ac:dyDescent="0.25">
      <c r="D96" s="25"/>
      <c r="G96" s="23"/>
      <c r="I96" s="23"/>
      <c r="J96" s="23"/>
      <c r="S96" s="9"/>
      <c r="X96" s="9"/>
      <c r="Y96" s="9"/>
    </row>
    <row r="97" spans="2:25" x14ac:dyDescent="0.25">
      <c r="E97" s="25"/>
      <c r="I97" s="23"/>
      <c r="J97" s="23"/>
      <c r="S97" s="9"/>
      <c r="X97" s="25"/>
      <c r="Y97" s="25"/>
    </row>
    <row r="98" spans="2:25" x14ac:dyDescent="0.25">
      <c r="B98" s="13"/>
      <c r="C98" s="13"/>
      <c r="D98" s="13"/>
      <c r="E98" s="13"/>
      <c r="F98" s="13"/>
      <c r="G98" s="13"/>
      <c r="H98" s="13"/>
      <c r="I98" s="13"/>
      <c r="S98" s="9"/>
      <c r="X98" s="13"/>
      <c r="Y98" s="13"/>
    </row>
    <row r="99" spans="2:25" x14ac:dyDescent="0.25">
      <c r="S99" s="9"/>
      <c r="X99" s="9"/>
      <c r="Y99" s="9"/>
    </row>
    <row r="100" spans="2:25" x14ac:dyDescent="0.25">
      <c r="S100" s="9"/>
      <c r="X100" s="9"/>
      <c r="Y100" s="9"/>
    </row>
    <row r="101" spans="2:25" x14ac:dyDescent="0.25">
      <c r="E101" s="25"/>
      <c r="S101" s="9"/>
      <c r="X101" s="25"/>
      <c r="Y101" s="25"/>
    </row>
    <row r="102" spans="2:25" x14ac:dyDescent="0.25">
      <c r="D102" s="25"/>
      <c r="S102" s="9"/>
      <c r="X102" s="9"/>
      <c r="Y102" s="9"/>
    </row>
    <row r="103" spans="2:25" x14ac:dyDescent="0.25">
      <c r="D103" s="25"/>
      <c r="S103" s="9"/>
      <c r="X103" s="9"/>
      <c r="Y103" s="9"/>
    </row>
    <row r="104" spans="2:25" x14ac:dyDescent="0.25">
      <c r="D104" s="25"/>
      <c r="E104" s="25"/>
      <c r="S104" s="9"/>
      <c r="X104" s="25"/>
      <c r="Y104" s="25"/>
    </row>
    <row r="105" spans="2:25" x14ac:dyDescent="0.25">
      <c r="S105" s="9"/>
      <c r="X105" s="9"/>
      <c r="Y105" s="9"/>
    </row>
    <row r="106" spans="2:25" x14ac:dyDescent="0.25">
      <c r="S106" s="9"/>
      <c r="X106" s="9"/>
      <c r="Y106" s="9"/>
    </row>
    <row r="107" spans="2:25" x14ac:dyDescent="0.25">
      <c r="S107" s="9"/>
      <c r="X107" s="9"/>
      <c r="Y107" s="9"/>
    </row>
    <row r="108" spans="2:25" x14ac:dyDescent="0.25">
      <c r="S108" s="9"/>
      <c r="X108" s="9"/>
      <c r="Y108" s="9"/>
    </row>
    <row r="109" spans="2:25" x14ac:dyDescent="0.25">
      <c r="S109" s="9"/>
    </row>
    <row r="110" spans="2:25" x14ac:dyDescent="0.25">
      <c r="S110" s="9"/>
    </row>
    <row r="111" spans="2:25" x14ac:dyDescent="0.25">
      <c r="S111" s="9"/>
    </row>
    <row r="112" spans="2:25" x14ac:dyDescent="0.25">
      <c r="S112" s="9"/>
    </row>
    <row r="113" spans="19:19" x14ac:dyDescent="0.25">
      <c r="S113" s="9"/>
    </row>
    <row r="114" spans="19:19" x14ac:dyDescent="0.25">
      <c r="S114" s="9"/>
    </row>
    <row r="115" spans="19:19" x14ac:dyDescent="0.25">
      <c r="S115" s="9"/>
    </row>
    <row r="116" spans="19:19" x14ac:dyDescent="0.25">
      <c r="S116" s="9"/>
    </row>
    <row r="117" spans="19:19" x14ac:dyDescent="0.25">
      <c r="S117" s="9"/>
    </row>
    <row r="118" spans="19:19" x14ac:dyDescent="0.25">
      <c r="S118" s="9"/>
    </row>
    <row r="119" spans="19:19" x14ac:dyDescent="0.25">
      <c r="S119" s="9"/>
    </row>
    <row r="120" spans="19:19" x14ac:dyDescent="0.25">
      <c r="S120" s="9"/>
    </row>
    <row r="121" spans="19:19" x14ac:dyDescent="0.25">
      <c r="S121" s="9"/>
    </row>
    <row r="122" spans="19:19" x14ac:dyDescent="0.25">
      <c r="S122" s="9"/>
    </row>
    <row r="123" spans="19:19" x14ac:dyDescent="0.25">
      <c r="S123" s="9"/>
    </row>
    <row r="124" spans="19:19" x14ac:dyDescent="0.25">
      <c r="S124" s="9"/>
    </row>
    <row r="125" spans="19:19" x14ac:dyDescent="0.25">
      <c r="S125" s="9"/>
    </row>
    <row r="126" spans="19:19" x14ac:dyDescent="0.25">
      <c r="S126" s="9"/>
    </row>
    <row r="127" spans="19:19" x14ac:dyDescent="0.25">
      <c r="S127" s="9"/>
    </row>
    <row r="128" spans="19:19" x14ac:dyDescent="0.25">
      <c r="S128" s="9"/>
    </row>
    <row r="129" spans="19:19" x14ac:dyDescent="0.25">
      <c r="S129" s="9"/>
    </row>
    <row r="130" spans="19:19" x14ac:dyDescent="0.25">
      <c r="S130" s="9"/>
    </row>
    <row r="131" spans="19:19" x14ac:dyDescent="0.25">
      <c r="S131" s="9"/>
    </row>
    <row r="132" spans="19:19" x14ac:dyDescent="0.25">
      <c r="S132" s="9"/>
    </row>
    <row r="133" spans="19:19" x14ac:dyDescent="0.25">
      <c r="S133" s="9"/>
    </row>
    <row r="134" spans="19:19" x14ac:dyDescent="0.25">
      <c r="S134" s="9"/>
    </row>
    <row r="135" spans="19:19" x14ac:dyDescent="0.25">
      <c r="S135" s="9"/>
    </row>
    <row r="136" spans="19:19" x14ac:dyDescent="0.25">
      <c r="S136" s="9"/>
    </row>
    <row r="137" spans="19:19" x14ac:dyDescent="0.25">
      <c r="S137" s="9"/>
    </row>
    <row r="138" spans="19:19" x14ac:dyDescent="0.25">
      <c r="S138" s="9"/>
    </row>
    <row r="139" spans="19:19" x14ac:dyDescent="0.25">
      <c r="S139" s="9"/>
    </row>
    <row r="140" spans="19:19" x14ac:dyDescent="0.25">
      <c r="S140" s="9"/>
    </row>
    <row r="141" spans="19:19" x14ac:dyDescent="0.25">
      <c r="S141" s="9"/>
    </row>
    <row r="142" spans="19:19" x14ac:dyDescent="0.25">
      <c r="S142" s="9"/>
    </row>
    <row r="143" spans="19:19" x14ac:dyDescent="0.25">
      <c r="S143" s="9"/>
    </row>
    <row r="144" spans="19:19" x14ac:dyDescent="0.25">
      <c r="S144" s="9"/>
    </row>
    <row r="145" spans="19:19" x14ac:dyDescent="0.25">
      <c r="S145" s="9"/>
    </row>
    <row r="146" spans="19:19" x14ac:dyDescent="0.25">
      <c r="S146" s="9"/>
    </row>
    <row r="147" spans="19:19" x14ac:dyDescent="0.25">
      <c r="S147" s="9"/>
    </row>
    <row r="148" spans="19:19" x14ac:dyDescent="0.25">
      <c r="S148" s="9"/>
    </row>
    <row r="149" spans="19:19" x14ac:dyDescent="0.25">
      <c r="S149" s="9"/>
    </row>
    <row r="150" spans="19:19" x14ac:dyDescent="0.25">
      <c r="S150" s="9"/>
    </row>
    <row r="151" spans="19:19" x14ac:dyDescent="0.25">
      <c r="S151" s="9"/>
    </row>
    <row r="152" spans="19:19" x14ac:dyDescent="0.25">
      <c r="S152" s="9"/>
    </row>
    <row r="153" spans="19:19" x14ac:dyDescent="0.25">
      <c r="S153" s="9"/>
    </row>
    <row r="154" spans="19:19" x14ac:dyDescent="0.25">
      <c r="S154" s="9"/>
    </row>
    <row r="155" spans="19:19" x14ac:dyDescent="0.25">
      <c r="S155" s="9"/>
    </row>
    <row r="156" spans="19:19" x14ac:dyDescent="0.25">
      <c r="S156" s="9"/>
    </row>
    <row r="157" spans="19:19" x14ac:dyDescent="0.25">
      <c r="S157" s="9"/>
    </row>
    <row r="158" spans="19:19" x14ac:dyDescent="0.25">
      <c r="S158" s="9"/>
    </row>
    <row r="159" spans="19:19" x14ac:dyDescent="0.25">
      <c r="S159" s="9"/>
    </row>
    <row r="160" spans="19:19" x14ac:dyDescent="0.25">
      <c r="S160" s="9"/>
    </row>
    <row r="161" spans="19:19" x14ac:dyDescent="0.25">
      <c r="S161" s="9"/>
    </row>
    <row r="162" spans="19:19" x14ac:dyDescent="0.25">
      <c r="S162" s="9"/>
    </row>
    <row r="163" spans="19:19" x14ac:dyDescent="0.25">
      <c r="S163" s="9"/>
    </row>
    <row r="164" spans="19:19" x14ac:dyDescent="0.25">
      <c r="S164" s="9"/>
    </row>
    <row r="165" spans="19:19" x14ac:dyDescent="0.25">
      <c r="S165" s="9"/>
    </row>
    <row r="166" spans="19:19" x14ac:dyDescent="0.25">
      <c r="S166" s="9"/>
    </row>
    <row r="167" spans="19:19" x14ac:dyDescent="0.25">
      <c r="S167" s="9"/>
    </row>
    <row r="168" spans="19:19" x14ac:dyDescent="0.25">
      <c r="S168" s="9"/>
    </row>
    <row r="169" spans="19:19" x14ac:dyDescent="0.25">
      <c r="S169" s="9"/>
    </row>
    <row r="170" spans="19:19" x14ac:dyDescent="0.25">
      <c r="S170" s="9"/>
    </row>
    <row r="171" spans="19:19" x14ac:dyDescent="0.25">
      <c r="S171" s="9"/>
    </row>
    <row r="172" spans="19:19" x14ac:dyDescent="0.25">
      <c r="S172" s="9"/>
    </row>
    <row r="173" spans="19:19" x14ac:dyDescent="0.25">
      <c r="S173" s="9"/>
    </row>
    <row r="174" spans="19:19" x14ac:dyDescent="0.25">
      <c r="S174" s="9"/>
    </row>
    <row r="175" spans="19:19" x14ac:dyDescent="0.25">
      <c r="S175" s="9"/>
    </row>
    <row r="176" spans="19:19" x14ac:dyDescent="0.25">
      <c r="S176" s="9"/>
    </row>
    <row r="177" spans="19:19" x14ac:dyDescent="0.25">
      <c r="S177" s="9"/>
    </row>
    <row r="178" spans="19:19" x14ac:dyDescent="0.25">
      <c r="S178" s="9"/>
    </row>
    <row r="179" spans="19:19" x14ac:dyDescent="0.25">
      <c r="S179" s="9"/>
    </row>
    <row r="180" spans="19:19" x14ac:dyDescent="0.25">
      <c r="S180" s="9"/>
    </row>
    <row r="181" spans="19:19" x14ac:dyDescent="0.25">
      <c r="S181" s="9"/>
    </row>
    <row r="182" spans="19:19" x14ac:dyDescent="0.25">
      <c r="S182" s="9"/>
    </row>
    <row r="183" spans="19:19" x14ac:dyDescent="0.25">
      <c r="S183" s="9"/>
    </row>
    <row r="184" spans="19:19" x14ac:dyDescent="0.25">
      <c r="S184" s="9"/>
    </row>
    <row r="185" spans="19:19" x14ac:dyDescent="0.25">
      <c r="S185" s="9"/>
    </row>
    <row r="186" spans="19:19" x14ac:dyDescent="0.25">
      <c r="S186" s="9"/>
    </row>
    <row r="187" spans="19:19" x14ac:dyDescent="0.25">
      <c r="S187" s="9"/>
    </row>
    <row r="188" spans="19:19" x14ac:dyDescent="0.25">
      <c r="S188" s="9"/>
    </row>
    <row r="189" spans="19:19" x14ac:dyDescent="0.25">
      <c r="S189" s="9"/>
    </row>
    <row r="190" spans="19:19" x14ac:dyDescent="0.25">
      <c r="S190" s="9"/>
    </row>
    <row r="191" spans="19:19" x14ac:dyDescent="0.25">
      <c r="S191" s="9"/>
    </row>
    <row r="192" spans="19:19" x14ac:dyDescent="0.25">
      <c r="S192" s="9"/>
    </row>
    <row r="193" spans="19:19" x14ac:dyDescent="0.25">
      <c r="S193" s="9"/>
    </row>
    <row r="194" spans="19:19" x14ac:dyDescent="0.25">
      <c r="S194" s="9"/>
    </row>
    <row r="195" spans="19:19" x14ac:dyDescent="0.25">
      <c r="S195" s="9"/>
    </row>
    <row r="196" spans="19:19" x14ac:dyDescent="0.25">
      <c r="S196" s="9"/>
    </row>
    <row r="197" spans="19:19" x14ac:dyDescent="0.25">
      <c r="S197" s="9"/>
    </row>
    <row r="198" spans="19:19" x14ac:dyDescent="0.25">
      <c r="S198" s="9"/>
    </row>
    <row r="199" spans="19:19" x14ac:dyDescent="0.25">
      <c r="S199" s="9"/>
    </row>
    <row r="200" spans="19:19" x14ac:dyDescent="0.25">
      <c r="S200" s="9"/>
    </row>
    <row r="201" spans="19:19" x14ac:dyDescent="0.25">
      <c r="S201" s="9"/>
    </row>
    <row r="202" spans="19:19" x14ac:dyDescent="0.25">
      <c r="S202" s="9"/>
    </row>
    <row r="203" spans="19:19" x14ac:dyDescent="0.25">
      <c r="S203" s="9"/>
    </row>
    <row r="204" spans="19:19" x14ac:dyDescent="0.25">
      <c r="S204" s="9"/>
    </row>
    <row r="205" spans="19:19" x14ac:dyDescent="0.25">
      <c r="S205" s="9"/>
    </row>
    <row r="206" spans="19:19" x14ac:dyDescent="0.25">
      <c r="S206" s="9"/>
    </row>
    <row r="207" spans="19:19" x14ac:dyDescent="0.25">
      <c r="S207" s="9"/>
    </row>
    <row r="208" spans="19:19" x14ac:dyDescent="0.25">
      <c r="S208" s="9"/>
    </row>
    <row r="209" spans="19:19" x14ac:dyDescent="0.25">
      <c r="S209" s="9"/>
    </row>
    <row r="210" spans="19:19" x14ac:dyDescent="0.25">
      <c r="S210" s="9"/>
    </row>
    <row r="211" spans="19:19" x14ac:dyDescent="0.25">
      <c r="S211" s="9"/>
    </row>
    <row r="212" spans="19:19" x14ac:dyDescent="0.25">
      <c r="S212" s="9"/>
    </row>
    <row r="213" spans="19:19" x14ac:dyDescent="0.25">
      <c r="S213" s="9"/>
    </row>
    <row r="214" spans="19:19" x14ac:dyDescent="0.25">
      <c r="S214" s="9"/>
    </row>
    <row r="215" spans="19:19" x14ac:dyDescent="0.25">
      <c r="S215" s="9"/>
    </row>
    <row r="216" spans="19:19" x14ac:dyDescent="0.25">
      <c r="S216" s="9"/>
    </row>
    <row r="217" spans="19:19" x14ac:dyDescent="0.25">
      <c r="S217" s="9"/>
    </row>
    <row r="218" spans="19:19" x14ac:dyDescent="0.25">
      <c r="S218" s="9"/>
    </row>
    <row r="219" spans="19:19" x14ac:dyDescent="0.25">
      <c r="S219" s="9"/>
    </row>
    <row r="220" spans="19:19" x14ac:dyDescent="0.25">
      <c r="S220" s="9"/>
    </row>
    <row r="221" spans="19:19" x14ac:dyDescent="0.25">
      <c r="S221" s="9"/>
    </row>
    <row r="222" spans="19:19" x14ac:dyDescent="0.25">
      <c r="S222" s="9"/>
    </row>
    <row r="223" spans="19:19" x14ac:dyDescent="0.25">
      <c r="S223" s="9"/>
    </row>
    <row r="224" spans="19:19" x14ac:dyDescent="0.25">
      <c r="S224" s="9"/>
    </row>
    <row r="225" spans="19:19" x14ac:dyDescent="0.25">
      <c r="S225" s="9"/>
    </row>
    <row r="226" spans="19:19" x14ac:dyDescent="0.25">
      <c r="S226" s="9"/>
    </row>
    <row r="227" spans="19:19" x14ac:dyDescent="0.25">
      <c r="S227" s="9"/>
    </row>
    <row r="228" spans="19:19" x14ac:dyDescent="0.25">
      <c r="S228" s="9"/>
    </row>
    <row r="229" spans="19:19" x14ac:dyDescent="0.25">
      <c r="S229" s="9"/>
    </row>
    <row r="230" spans="19:19" x14ac:dyDescent="0.25">
      <c r="S230" s="9"/>
    </row>
    <row r="231" spans="19:19" x14ac:dyDescent="0.25">
      <c r="S231" s="9"/>
    </row>
    <row r="232" spans="19:19" x14ac:dyDescent="0.25">
      <c r="S232" s="9"/>
    </row>
    <row r="233" spans="19:19" x14ac:dyDescent="0.25">
      <c r="S233" s="9"/>
    </row>
    <row r="234" spans="19:19" x14ac:dyDescent="0.25">
      <c r="S234" s="9"/>
    </row>
    <row r="235" spans="19:19" x14ac:dyDescent="0.25">
      <c r="S235" s="9"/>
    </row>
    <row r="236" spans="19:19" x14ac:dyDescent="0.25">
      <c r="S236" s="9"/>
    </row>
    <row r="237" spans="19:19" x14ac:dyDescent="0.25">
      <c r="S237" s="9"/>
    </row>
    <row r="238" spans="19:19" x14ac:dyDescent="0.25">
      <c r="S238" s="9"/>
    </row>
    <row r="239" spans="19:19" x14ac:dyDescent="0.25">
      <c r="S239" s="9"/>
    </row>
    <row r="240" spans="19:19" x14ac:dyDescent="0.25">
      <c r="S240" s="9"/>
    </row>
    <row r="241" spans="19:19" x14ac:dyDescent="0.25">
      <c r="S241" s="9"/>
    </row>
    <row r="242" spans="19:19" x14ac:dyDescent="0.25">
      <c r="S242" s="9"/>
    </row>
    <row r="243" spans="19:19" x14ac:dyDescent="0.25">
      <c r="S243" s="9"/>
    </row>
    <row r="244" spans="19:19" x14ac:dyDescent="0.25">
      <c r="S244" s="9"/>
    </row>
    <row r="245" spans="19:19" x14ac:dyDescent="0.25">
      <c r="S245" s="9"/>
    </row>
    <row r="246" spans="19:19" x14ac:dyDescent="0.25">
      <c r="S246" s="9"/>
    </row>
    <row r="247" spans="19:19" x14ac:dyDescent="0.25">
      <c r="S247" s="9"/>
    </row>
    <row r="248" spans="19:19" x14ac:dyDescent="0.25">
      <c r="S248" s="9"/>
    </row>
    <row r="249" spans="19:19" x14ac:dyDescent="0.25">
      <c r="S249" s="9"/>
    </row>
    <row r="250" spans="19:19" x14ac:dyDescent="0.25">
      <c r="S250" s="9"/>
    </row>
    <row r="251" spans="19:19" x14ac:dyDescent="0.25">
      <c r="S251" s="9"/>
    </row>
    <row r="252" spans="19:19" x14ac:dyDescent="0.25">
      <c r="S252" s="9"/>
    </row>
    <row r="253" spans="19:19" x14ac:dyDescent="0.25">
      <c r="S253" s="9"/>
    </row>
    <row r="254" spans="19:19" x14ac:dyDescent="0.25">
      <c r="S254" s="9"/>
    </row>
    <row r="255" spans="19:19" x14ac:dyDescent="0.25">
      <c r="S255" s="9"/>
    </row>
    <row r="256" spans="19:19" x14ac:dyDescent="0.25">
      <c r="S256" s="9"/>
    </row>
    <row r="257" spans="19:19" x14ac:dyDescent="0.25">
      <c r="S257" s="9"/>
    </row>
    <row r="258" spans="19:19" x14ac:dyDescent="0.25">
      <c r="S258" s="9"/>
    </row>
    <row r="259" spans="19:19" x14ac:dyDescent="0.25">
      <c r="S259" s="9"/>
    </row>
    <row r="260" spans="19:19" x14ac:dyDescent="0.25">
      <c r="S260" s="9"/>
    </row>
    <row r="261" spans="19:19" x14ac:dyDescent="0.25">
      <c r="S261" s="9"/>
    </row>
    <row r="262" spans="19:19" x14ac:dyDescent="0.25">
      <c r="S262" s="9"/>
    </row>
    <row r="263" spans="19:19" x14ac:dyDescent="0.25">
      <c r="S263" s="9"/>
    </row>
    <row r="264" spans="19:19" x14ac:dyDescent="0.25">
      <c r="S264" s="9"/>
    </row>
    <row r="265" spans="19:19" x14ac:dyDescent="0.25">
      <c r="S265" s="9"/>
    </row>
    <row r="266" spans="19:19" x14ac:dyDescent="0.25">
      <c r="S266" s="9"/>
    </row>
    <row r="267" spans="19:19" x14ac:dyDescent="0.25">
      <c r="S267" s="9"/>
    </row>
    <row r="268" spans="19:19" x14ac:dyDescent="0.25">
      <c r="S268" s="9"/>
    </row>
    <row r="269" spans="19:19" x14ac:dyDescent="0.25">
      <c r="S269" s="9"/>
    </row>
    <row r="270" spans="19:19" x14ac:dyDescent="0.25">
      <c r="S270" s="9"/>
    </row>
    <row r="271" spans="19:19" x14ac:dyDescent="0.25">
      <c r="S271" s="9"/>
    </row>
    <row r="272" spans="19:19" x14ac:dyDescent="0.25">
      <c r="S272" s="9"/>
    </row>
    <row r="273" spans="19:19" x14ac:dyDescent="0.25">
      <c r="S273" s="9"/>
    </row>
    <row r="274" spans="19:19" x14ac:dyDescent="0.25">
      <c r="S274" s="9"/>
    </row>
    <row r="275" spans="19:19" x14ac:dyDescent="0.25">
      <c r="S275" s="9"/>
    </row>
    <row r="276" spans="19:19" x14ac:dyDescent="0.25">
      <c r="S276" s="9"/>
    </row>
    <row r="277" spans="19:19" x14ac:dyDescent="0.25">
      <c r="S277" s="9"/>
    </row>
    <row r="278" spans="19:19" x14ac:dyDescent="0.25">
      <c r="S278" s="9"/>
    </row>
    <row r="279" spans="19:19" x14ac:dyDescent="0.25">
      <c r="S279" s="9"/>
    </row>
    <row r="280" spans="19:19" x14ac:dyDescent="0.25">
      <c r="S280" s="9"/>
    </row>
    <row r="281" spans="19:19" x14ac:dyDescent="0.25">
      <c r="S281" s="9"/>
    </row>
    <row r="282" spans="19:19" x14ac:dyDescent="0.25">
      <c r="S282" s="9"/>
    </row>
    <row r="283" spans="19:19" x14ac:dyDescent="0.25">
      <c r="S283" s="9"/>
    </row>
    <row r="284" spans="19:19" x14ac:dyDescent="0.25">
      <c r="S284" s="9"/>
    </row>
    <row r="285" spans="19:19" x14ac:dyDescent="0.25">
      <c r="S285" s="9"/>
    </row>
    <row r="286" spans="19:19" x14ac:dyDescent="0.25">
      <c r="S286" s="9"/>
    </row>
    <row r="287" spans="19:19" x14ac:dyDescent="0.25">
      <c r="S287" s="9"/>
    </row>
    <row r="288" spans="19:19" x14ac:dyDescent="0.25">
      <c r="S288" s="9"/>
    </row>
    <row r="289" spans="19:19" x14ac:dyDescent="0.25">
      <c r="S289" s="9"/>
    </row>
    <row r="290" spans="19:19" x14ac:dyDescent="0.25">
      <c r="S290" s="9"/>
    </row>
    <row r="291" spans="19:19" x14ac:dyDescent="0.25">
      <c r="S291" s="9"/>
    </row>
    <row r="292" spans="19:19" x14ac:dyDescent="0.25">
      <c r="S292" s="9"/>
    </row>
    <row r="293" spans="19:19" x14ac:dyDescent="0.25">
      <c r="S293" s="9"/>
    </row>
    <row r="294" spans="19:19" x14ac:dyDescent="0.25">
      <c r="S294" s="9"/>
    </row>
    <row r="295" spans="19:19" x14ac:dyDescent="0.25">
      <c r="S295" s="9"/>
    </row>
    <row r="296" spans="19:19" x14ac:dyDescent="0.25">
      <c r="S296" s="9"/>
    </row>
    <row r="297" spans="19:19" x14ac:dyDescent="0.25">
      <c r="S297" s="9"/>
    </row>
    <row r="298" spans="19:19" x14ac:dyDescent="0.25">
      <c r="S298" s="9"/>
    </row>
    <row r="299" spans="19:19" x14ac:dyDescent="0.25">
      <c r="S299" s="9"/>
    </row>
    <row r="300" spans="19:19" x14ac:dyDescent="0.25">
      <c r="S300" s="9"/>
    </row>
    <row r="301" spans="19:19" x14ac:dyDescent="0.25">
      <c r="S301" s="9"/>
    </row>
    <row r="302" spans="19:19" x14ac:dyDescent="0.25">
      <c r="S302" s="9"/>
    </row>
    <row r="303" spans="19:19" x14ac:dyDescent="0.25">
      <c r="S303" s="9"/>
    </row>
    <row r="304" spans="19:19" x14ac:dyDescent="0.25">
      <c r="S304" s="9"/>
    </row>
    <row r="305" spans="19:19" x14ac:dyDescent="0.25">
      <c r="S305" s="9"/>
    </row>
    <row r="306" spans="19:19" x14ac:dyDescent="0.25">
      <c r="S306" s="9"/>
    </row>
    <row r="307" spans="19:19" x14ac:dyDescent="0.25">
      <c r="S307" s="9"/>
    </row>
    <row r="308" spans="19:19" x14ac:dyDescent="0.25">
      <c r="S308" s="9"/>
    </row>
    <row r="309" spans="19:19" x14ac:dyDescent="0.25">
      <c r="S309" s="9"/>
    </row>
    <row r="310" spans="19:19" x14ac:dyDescent="0.25">
      <c r="S310" s="9"/>
    </row>
    <row r="311" spans="19:19" x14ac:dyDescent="0.25">
      <c r="S311" s="9"/>
    </row>
    <row r="312" spans="19:19" x14ac:dyDescent="0.25">
      <c r="S312" s="9"/>
    </row>
    <row r="313" spans="19:19" x14ac:dyDescent="0.25">
      <c r="S313" s="9"/>
    </row>
    <row r="314" spans="19:19" x14ac:dyDescent="0.25">
      <c r="S314" s="9"/>
    </row>
    <row r="315" spans="19:19" x14ac:dyDescent="0.25">
      <c r="S315" s="9"/>
    </row>
    <row r="316" spans="19:19" x14ac:dyDescent="0.25">
      <c r="S316" s="9"/>
    </row>
    <row r="317" spans="19:19" x14ac:dyDescent="0.25">
      <c r="S317" s="9"/>
    </row>
    <row r="318" spans="19:19" x14ac:dyDescent="0.25">
      <c r="S318" s="9"/>
    </row>
    <row r="319" spans="19:19" x14ac:dyDescent="0.25">
      <c r="S319" s="9"/>
    </row>
    <row r="320" spans="19:19" x14ac:dyDescent="0.25">
      <c r="S320" s="9"/>
    </row>
    <row r="321" spans="19:19" x14ac:dyDescent="0.25">
      <c r="S321" s="9"/>
    </row>
    <row r="322" spans="19:19" x14ac:dyDescent="0.25">
      <c r="S322" s="9"/>
    </row>
    <row r="323" spans="19:19" x14ac:dyDescent="0.25">
      <c r="S323" s="9"/>
    </row>
    <row r="324" spans="19:19" x14ac:dyDescent="0.25">
      <c r="S324" s="9"/>
    </row>
    <row r="325" spans="19:19" x14ac:dyDescent="0.25">
      <c r="S325" s="9"/>
    </row>
    <row r="326" spans="19:19" x14ac:dyDescent="0.25">
      <c r="S326" s="9"/>
    </row>
    <row r="327" spans="19:19" x14ac:dyDescent="0.25">
      <c r="S327" s="9"/>
    </row>
    <row r="328" spans="19:19" x14ac:dyDescent="0.25">
      <c r="S328" s="9"/>
    </row>
    <row r="329" spans="19:19" x14ac:dyDescent="0.25">
      <c r="S329" s="9"/>
    </row>
    <row r="330" spans="19:19" x14ac:dyDescent="0.25">
      <c r="S330" s="9"/>
    </row>
    <row r="331" spans="19:19" x14ac:dyDescent="0.25">
      <c r="S331" s="9"/>
    </row>
    <row r="332" spans="19:19" x14ac:dyDescent="0.25">
      <c r="S332" s="9"/>
    </row>
    <row r="333" spans="19:19" x14ac:dyDescent="0.25">
      <c r="S333" s="9"/>
    </row>
    <row r="334" spans="19:19" x14ac:dyDescent="0.25">
      <c r="S334" s="9"/>
    </row>
    <row r="335" spans="19:19" x14ac:dyDescent="0.25">
      <c r="S335" s="9"/>
    </row>
    <row r="336" spans="19:19" x14ac:dyDescent="0.25">
      <c r="S336" s="9"/>
    </row>
    <row r="337" spans="19:19" x14ac:dyDescent="0.25">
      <c r="S337" s="9"/>
    </row>
    <row r="338" spans="19:19" x14ac:dyDescent="0.25">
      <c r="S338" s="9"/>
    </row>
    <row r="339" spans="19:19" x14ac:dyDescent="0.25">
      <c r="S339" s="9"/>
    </row>
    <row r="340" spans="19:19" x14ac:dyDescent="0.25">
      <c r="S340" s="9"/>
    </row>
    <row r="341" spans="19:19" x14ac:dyDescent="0.25">
      <c r="S341" s="9"/>
    </row>
    <row r="342" spans="19:19" x14ac:dyDescent="0.25">
      <c r="S342" s="9"/>
    </row>
    <row r="343" spans="19:19" x14ac:dyDescent="0.25">
      <c r="S343" s="9"/>
    </row>
    <row r="344" spans="19:19" x14ac:dyDescent="0.25">
      <c r="S344" s="9"/>
    </row>
    <row r="345" spans="19:19" x14ac:dyDescent="0.25">
      <c r="S345" s="9"/>
    </row>
    <row r="346" spans="19:19" x14ac:dyDescent="0.25">
      <c r="S346" s="9"/>
    </row>
    <row r="347" spans="19:19" x14ac:dyDescent="0.25">
      <c r="S347" s="9"/>
    </row>
    <row r="348" spans="19:19" x14ac:dyDescent="0.25">
      <c r="S348" s="9"/>
    </row>
    <row r="349" spans="19:19" x14ac:dyDescent="0.25">
      <c r="S349" s="9"/>
    </row>
    <row r="350" spans="19:19" x14ac:dyDescent="0.25">
      <c r="S350" s="9"/>
    </row>
    <row r="351" spans="19:19" x14ac:dyDescent="0.25">
      <c r="S351" s="9"/>
    </row>
    <row r="352" spans="19:19" x14ac:dyDescent="0.25">
      <c r="S352" s="9"/>
    </row>
    <row r="353" spans="19:19" x14ac:dyDescent="0.25">
      <c r="S353" s="9"/>
    </row>
    <row r="354" spans="19:19" x14ac:dyDescent="0.25">
      <c r="S354" s="9"/>
    </row>
    <row r="355" spans="19:19" x14ac:dyDescent="0.25">
      <c r="S355" s="9"/>
    </row>
    <row r="356" spans="19:19" x14ac:dyDescent="0.25">
      <c r="S356" s="9"/>
    </row>
    <row r="357" spans="19:19" x14ac:dyDescent="0.25">
      <c r="S357" s="9"/>
    </row>
    <row r="358" spans="19:19" x14ac:dyDescent="0.25">
      <c r="S358" s="9"/>
    </row>
    <row r="359" spans="19:19" x14ac:dyDescent="0.25">
      <c r="S359" s="9"/>
    </row>
    <row r="360" spans="19:19" x14ac:dyDescent="0.25">
      <c r="S360" s="9"/>
    </row>
    <row r="361" spans="19:19" x14ac:dyDescent="0.25">
      <c r="S361" s="9"/>
    </row>
    <row r="362" spans="19:19" x14ac:dyDescent="0.25">
      <c r="S362" s="9"/>
    </row>
    <row r="363" spans="19:19" x14ac:dyDescent="0.25">
      <c r="S363" s="9"/>
    </row>
    <row r="364" spans="19:19" x14ac:dyDescent="0.25">
      <c r="S364" s="9"/>
    </row>
    <row r="365" spans="19:19" x14ac:dyDescent="0.25">
      <c r="S365" s="9"/>
    </row>
    <row r="366" spans="19:19" x14ac:dyDescent="0.25">
      <c r="S366" s="9"/>
    </row>
    <row r="367" spans="19:19" x14ac:dyDescent="0.25">
      <c r="S367" s="9"/>
    </row>
    <row r="368" spans="19:19" x14ac:dyDescent="0.25">
      <c r="S368" s="9"/>
    </row>
    <row r="369" spans="19:19" x14ac:dyDescent="0.25">
      <c r="S369" s="9"/>
    </row>
    <row r="370" spans="19:19" x14ac:dyDescent="0.25">
      <c r="S370" s="9"/>
    </row>
    <row r="371" spans="19:19" x14ac:dyDescent="0.25">
      <c r="S371" s="9"/>
    </row>
    <row r="372" spans="19:19" x14ac:dyDescent="0.25">
      <c r="S372" s="9"/>
    </row>
    <row r="373" spans="19:19" x14ac:dyDescent="0.25">
      <c r="S373" s="9"/>
    </row>
    <row r="374" spans="19:19" x14ac:dyDescent="0.25">
      <c r="S374" s="9"/>
    </row>
    <row r="375" spans="19:19" x14ac:dyDescent="0.25">
      <c r="S375" s="9"/>
    </row>
    <row r="376" spans="19:19" x14ac:dyDescent="0.25">
      <c r="S376" s="9"/>
    </row>
    <row r="377" spans="19:19" x14ac:dyDescent="0.25">
      <c r="S377" s="9"/>
    </row>
    <row r="378" spans="19:19" x14ac:dyDescent="0.25">
      <c r="S378" s="9"/>
    </row>
    <row r="379" spans="19:19" x14ac:dyDescent="0.25">
      <c r="S379" s="9"/>
    </row>
    <row r="380" spans="19:19" x14ac:dyDescent="0.25">
      <c r="S380" s="9"/>
    </row>
    <row r="381" spans="19:19" x14ac:dyDescent="0.25">
      <c r="S381" s="9"/>
    </row>
    <row r="382" spans="19:19" x14ac:dyDescent="0.25">
      <c r="S382" s="9"/>
    </row>
    <row r="383" spans="19:19" x14ac:dyDescent="0.25">
      <c r="S383" s="9"/>
    </row>
    <row r="384" spans="19:19" x14ac:dyDescent="0.25">
      <c r="S384" s="9"/>
    </row>
    <row r="385" spans="19:19" x14ac:dyDescent="0.25">
      <c r="S385" s="9"/>
    </row>
    <row r="386" spans="19:19" x14ac:dyDescent="0.25">
      <c r="S386" s="9"/>
    </row>
    <row r="387" spans="19:19" x14ac:dyDescent="0.25">
      <c r="S387" s="9"/>
    </row>
    <row r="388" spans="19:19" x14ac:dyDescent="0.25">
      <c r="S388" s="9"/>
    </row>
    <row r="389" spans="19:19" x14ac:dyDescent="0.25">
      <c r="S389" s="9"/>
    </row>
    <row r="390" spans="19:19" x14ac:dyDescent="0.25">
      <c r="S390" s="9"/>
    </row>
    <row r="391" spans="19:19" x14ac:dyDescent="0.25">
      <c r="S391" s="9"/>
    </row>
    <row r="392" spans="19:19" x14ac:dyDescent="0.25">
      <c r="S392" s="9"/>
    </row>
    <row r="393" spans="19:19" x14ac:dyDescent="0.25">
      <c r="S393" s="9"/>
    </row>
    <row r="394" spans="19:19" x14ac:dyDescent="0.25">
      <c r="S394" s="9"/>
    </row>
    <row r="395" spans="19:19" x14ac:dyDescent="0.25">
      <c r="S395" s="9"/>
    </row>
    <row r="396" spans="19:19" x14ac:dyDescent="0.25">
      <c r="S396" s="9"/>
    </row>
    <row r="397" spans="19:19" x14ac:dyDescent="0.25">
      <c r="S397" s="9"/>
    </row>
    <row r="398" spans="19:19" x14ac:dyDescent="0.25">
      <c r="S398" s="9"/>
    </row>
    <row r="399" spans="19:19" x14ac:dyDescent="0.25">
      <c r="S399" s="9"/>
    </row>
    <row r="400" spans="19:19" x14ac:dyDescent="0.25">
      <c r="S400" s="9"/>
    </row>
    <row r="401" spans="19:19" x14ac:dyDescent="0.25">
      <c r="S401" s="9"/>
    </row>
    <row r="402" spans="19:19" x14ac:dyDescent="0.25">
      <c r="S402" s="9"/>
    </row>
    <row r="403" spans="19:19" x14ac:dyDescent="0.25">
      <c r="S403" s="9"/>
    </row>
    <row r="404" spans="19:19" x14ac:dyDescent="0.25">
      <c r="S404" s="9"/>
    </row>
    <row r="405" spans="19:19" x14ac:dyDescent="0.25">
      <c r="S405" s="9"/>
    </row>
    <row r="406" spans="19:19" x14ac:dyDescent="0.25">
      <c r="S406" s="9"/>
    </row>
    <row r="407" spans="19:19" x14ac:dyDescent="0.25">
      <c r="S407" s="9"/>
    </row>
    <row r="408" spans="19:19" x14ac:dyDescent="0.25">
      <c r="S408" s="9"/>
    </row>
    <row r="409" spans="19:19" x14ac:dyDescent="0.25">
      <c r="S409" s="9"/>
    </row>
    <row r="410" spans="19:19" x14ac:dyDescent="0.25">
      <c r="S410" s="9"/>
    </row>
    <row r="411" spans="19:19" x14ac:dyDescent="0.25">
      <c r="S411" s="9"/>
    </row>
    <row r="412" spans="19:19" x14ac:dyDescent="0.25">
      <c r="S412" s="9"/>
    </row>
    <row r="413" spans="19:19" x14ac:dyDescent="0.25">
      <c r="S413" s="9"/>
    </row>
    <row r="414" spans="19:19" x14ac:dyDescent="0.25">
      <c r="S414" s="9"/>
    </row>
    <row r="415" spans="19:19" x14ac:dyDescent="0.25">
      <c r="S415" s="9"/>
    </row>
    <row r="416" spans="19:19" x14ac:dyDescent="0.25">
      <c r="S416" s="9"/>
    </row>
    <row r="417" spans="19:19" x14ac:dyDescent="0.25">
      <c r="S417" s="9"/>
    </row>
    <row r="418" spans="19:19" x14ac:dyDescent="0.25">
      <c r="S418" s="9"/>
    </row>
    <row r="419" spans="19:19" x14ac:dyDescent="0.25">
      <c r="S419" s="9"/>
    </row>
    <row r="420" spans="19:19" x14ac:dyDescent="0.25">
      <c r="S420" s="9"/>
    </row>
    <row r="421" spans="19:19" x14ac:dyDescent="0.25">
      <c r="S421" s="9"/>
    </row>
    <row r="422" spans="19:19" x14ac:dyDescent="0.25">
      <c r="S422" s="9"/>
    </row>
    <row r="423" spans="19:19" x14ac:dyDescent="0.25">
      <c r="S423" s="9"/>
    </row>
    <row r="424" spans="19:19" x14ac:dyDescent="0.25">
      <c r="S424" s="9"/>
    </row>
    <row r="425" spans="19:19" x14ac:dyDescent="0.25">
      <c r="S425" s="9"/>
    </row>
    <row r="426" spans="19:19" x14ac:dyDescent="0.25">
      <c r="S426" s="9"/>
    </row>
    <row r="427" spans="19:19" x14ac:dyDescent="0.25">
      <c r="S427" s="9"/>
    </row>
    <row r="428" spans="19:19" x14ac:dyDescent="0.25">
      <c r="S428" s="9"/>
    </row>
    <row r="429" spans="19:19" x14ac:dyDescent="0.25">
      <c r="S429" s="9"/>
    </row>
    <row r="430" spans="19:19" x14ac:dyDescent="0.25">
      <c r="S430" s="9"/>
    </row>
    <row r="431" spans="19:19" x14ac:dyDescent="0.25">
      <c r="S431" s="9"/>
    </row>
    <row r="432" spans="19:19" x14ac:dyDescent="0.25">
      <c r="S432" s="9"/>
    </row>
    <row r="433" spans="19:19" x14ac:dyDescent="0.25">
      <c r="S433" s="9"/>
    </row>
    <row r="434" spans="19:19" x14ac:dyDescent="0.25">
      <c r="S434" s="9"/>
    </row>
    <row r="435" spans="19:19" x14ac:dyDescent="0.25">
      <c r="S435" s="9"/>
    </row>
    <row r="436" spans="19:19" x14ac:dyDescent="0.25">
      <c r="S436" s="9"/>
    </row>
    <row r="437" spans="19:19" x14ac:dyDescent="0.25">
      <c r="S437" s="9"/>
    </row>
    <row r="438" spans="19:19" x14ac:dyDescent="0.25">
      <c r="S438" s="9"/>
    </row>
    <row r="439" spans="19:19" x14ac:dyDescent="0.25">
      <c r="S439" s="9"/>
    </row>
    <row r="440" spans="19:19" x14ac:dyDescent="0.25">
      <c r="S440" s="9"/>
    </row>
    <row r="441" spans="19:19" x14ac:dyDescent="0.25">
      <c r="S441" s="9"/>
    </row>
    <row r="442" spans="19:19" x14ac:dyDescent="0.25">
      <c r="S442" s="9"/>
    </row>
    <row r="443" spans="19:19" x14ac:dyDescent="0.25">
      <c r="S443" s="9"/>
    </row>
    <row r="444" spans="19:19" x14ac:dyDescent="0.25">
      <c r="S444" s="9"/>
    </row>
    <row r="445" spans="19:19" x14ac:dyDescent="0.25">
      <c r="S445" s="9"/>
    </row>
    <row r="446" spans="19:19" x14ac:dyDescent="0.25">
      <c r="S446" s="9"/>
    </row>
    <row r="447" spans="19:19" x14ac:dyDescent="0.25">
      <c r="S447" s="9"/>
    </row>
    <row r="448" spans="19:19" x14ac:dyDescent="0.25">
      <c r="S448" s="9"/>
    </row>
    <row r="449" spans="19:19" x14ac:dyDescent="0.25">
      <c r="S449" s="9"/>
    </row>
    <row r="450" spans="19:19" x14ac:dyDescent="0.25">
      <c r="S450" s="9"/>
    </row>
    <row r="451" spans="19:19" x14ac:dyDescent="0.25">
      <c r="S451" s="9"/>
    </row>
    <row r="452" spans="19:19" x14ac:dyDescent="0.25">
      <c r="S452" s="9"/>
    </row>
    <row r="453" spans="19:19" x14ac:dyDescent="0.25">
      <c r="S453" s="9"/>
    </row>
    <row r="454" spans="19:19" x14ac:dyDescent="0.25">
      <c r="S454" s="9"/>
    </row>
    <row r="455" spans="19:19" x14ac:dyDescent="0.25">
      <c r="S455" s="9"/>
    </row>
    <row r="456" spans="19:19" x14ac:dyDescent="0.25">
      <c r="S456" s="9"/>
    </row>
    <row r="457" spans="19:19" x14ac:dyDescent="0.25">
      <c r="S457" s="9"/>
    </row>
    <row r="458" spans="19:19" x14ac:dyDescent="0.25">
      <c r="S458" s="9"/>
    </row>
    <row r="459" spans="19:19" x14ac:dyDescent="0.25">
      <c r="S459" s="9"/>
    </row>
    <row r="460" spans="19:19" x14ac:dyDescent="0.25">
      <c r="S460" s="9"/>
    </row>
    <row r="461" spans="19:19" x14ac:dyDescent="0.25">
      <c r="S461" s="9"/>
    </row>
    <row r="462" spans="19:19" x14ac:dyDescent="0.25">
      <c r="S462" s="9"/>
    </row>
    <row r="463" spans="19:19" x14ac:dyDescent="0.25">
      <c r="S463" s="9"/>
    </row>
    <row r="464" spans="19:19" x14ac:dyDescent="0.25">
      <c r="S464" s="9"/>
    </row>
    <row r="465" spans="19:19" x14ac:dyDescent="0.25">
      <c r="S465" s="9"/>
    </row>
    <row r="466" spans="19:19" x14ac:dyDescent="0.25">
      <c r="S466" s="9"/>
    </row>
    <row r="467" spans="19:19" x14ac:dyDescent="0.25">
      <c r="S467" s="9"/>
    </row>
    <row r="468" spans="19:19" x14ac:dyDescent="0.25">
      <c r="S468" s="9"/>
    </row>
    <row r="469" spans="19:19" x14ac:dyDescent="0.25">
      <c r="S469" s="9"/>
    </row>
    <row r="470" spans="19:19" x14ac:dyDescent="0.25">
      <c r="S470" s="9"/>
    </row>
    <row r="471" spans="19:19" x14ac:dyDescent="0.25">
      <c r="S471" s="9"/>
    </row>
    <row r="472" spans="19:19" x14ac:dyDescent="0.25">
      <c r="S472" s="9"/>
    </row>
    <row r="473" spans="19:19" x14ac:dyDescent="0.25">
      <c r="S473" s="9"/>
    </row>
    <row r="474" spans="19:19" x14ac:dyDescent="0.25">
      <c r="S474" s="9"/>
    </row>
    <row r="475" spans="19:19" x14ac:dyDescent="0.25">
      <c r="S475" s="9"/>
    </row>
    <row r="476" spans="19:19" x14ac:dyDescent="0.25">
      <c r="S476" s="9"/>
    </row>
    <row r="477" spans="19:19" x14ac:dyDescent="0.25">
      <c r="S477" s="9"/>
    </row>
    <row r="478" spans="19:19" x14ac:dyDescent="0.25">
      <c r="S478" s="9"/>
    </row>
    <row r="479" spans="19:19" x14ac:dyDescent="0.25">
      <c r="S479" s="9"/>
    </row>
    <row r="480" spans="19:19" x14ac:dyDescent="0.25">
      <c r="S480" s="9"/>
    </row>
    <row r="481" spans="19:19" x14ac:dyDescent="0.25">
      <c r="S481" s="9"/>
    </row>
    <row r="482" spans="19:19" x14ac:dyDescent="0.25">
      <c r="S482" s="9"/>
    </row>
    <row r="483" spans="19:19" x14ac:dyDescent="0.25">
      <c r="S483" s="9"/>
    </row>
    <row r="484" spans="19:19" x14ac:dyDescent="0.25">
      <c r="S484" s="9"/>
    </row>
    <row r="485" spans="19:19" x14ac:dyDescent="0.25">
      <c r="S485" s="9"/>
    </row>
    <row r="486" spans="19:19" x14ac:dyDescent="0.25">
      <c r="S486" s="9"/>
    </row>
    <row r="487" spans="19:19" x14ac:dyDescent="0.25">
      <c r="S487" s="9"/>
    </row>
    <row r="488" spans="19:19" x14ac:dyDescent="0.25">
      <c r="S488" s="9"/>
    </row>
    <row r="489" spans="19:19" x14ac:dyDescent="0.25">
      <c r="S489" s="9"/>
    </row>
    <row r="490" spans="19:19" x14ac:dyDescent="0.25">
      <c r="S490" s="9"/>
    </row>
    <row r="491" spans="19:19" x14ac:dyDescent="0.25">
      <c r="S491" s="9"/>
    </row>
    <row r="492" spans="19:19" x14ac:dyDescent="0.25">
      <c r="S492" s="9"/>
    </row>
    <row r="493" spans="19:19" x14ac:dyDescent="0.25">
      <c r="S493" s="9"/>
    </row>
    <row r="494" spans="19:19" x14ac:dyDescent="0.25">
      <c r="S494" s="9"/>
    </row>
    <row r="495" spans="19:19" x14ac:dyDescent="0.25">
      <c r="S495" s="9"/>
    </row>
    <row r="496" spans="19:19" x14ac:dyDescent="0.25">
      <c r="S496" s="9"/>
    </row>
    <row r="497" spans="19:19" x14ac:dyDescent="0.25">
      <c r="S497" s="9"/>
    </row>
    <row r="498" spans="19:19" x14ac:dyDescent="0.25">
      <c r="S498" s="9"/>
    </row>
    <row r="499" spans="19:19" x14ac:dyDescent="0.25">
      <c r="S499" s="9"/>
    </row>
    <row r="500" spans="19:19" x14ac:dyDescent="0.25">
      <c r="S500" s="9"/>
    </row>
    <row r="501" spans="19:19" x14ac:dyDescent="0.25">
      <c r="S501" s="9"/>
    </row>
    <row r="502" spans="19:19" x14ac:dyDescent="0.25">
      <c r="S502" s="9"/>
    </row>
    <row r="503" spans="19:19" x14ac:dyDescent="0.25">
      <c r="S503" s="9"/>
    </row>
    <row r="504" spans="19:19" x14ac:dyDescent="0.25">
      <c r="S504" s="9"/>
    </row>
    <row r="505" spans="19:19" x14ac:dyDescent="0.25">
      <c r="S505" s="9"/>
    </row>
    <row r="506" spans="19:19" x14ac:dyDescent="0.25">
      <c r="S506" s="9"/>
    </row>
    <row r="507" spans="19:19" x14ac:dyDescent="0.25">
      <c r="S507" s="9"/>
    </row>
    <row r="508" spans="19:19" x14ac:dyDescent="0.25">
      <c r="S508" s="9"/>
    </row>
    <row r="509" spans="19:19" x14ac:dyDescent="0.25">
      <c r="S509" s="9"/>
    </row>
    <row r="510" spans="19:19" x14ac:dyDescent="0.25">
      <c r="S510" s="9"/>
    </row>
    <row r="511" spans="19:19" x14ac:dyDescent="0.25">
      <c r="S511" s="9"/>
    </row>
    <row r="512" spans="19:19" x14ac:dyDescent="0.25">
      <c r="S512" s="9"/>
    </row>
    <row r="513" spans="19:19" x14ac:dyDescent="0.25">
      <c r="S513" s="9"/>
    </row>
    <row r="514" spans="19:19" x14ac:dyDescent="0.25">
      <c r="S514" s="9"/>
    </row>
    <row r="515" spans="19:19" x14ac:dyDescent="0.25">
      <c r="S515" s="9"/>
    </row>
    <row r="516" spans="19:19" x14ac:dyDescent="0.25">
      <c r="S516" s="9"/>
    </row>
    <row r="517" spans="19:19" x14ac:dyDescent="0.25">
      <c r="S517" s="9"/>
    </row>
    <row r="518" spans="19:19" x14ac:dyDescent="0.25">
      <c r="S518" s="9"/>
    </row>
    <row r="519" spans="19:19" x14ac:dyDescent="0.25">
      <c r="S519" s="9"/>
    </row>
    <row r="520" spans="19:19" x14ac:dyDescent="0.25">
      <c r="S520" s="9"/>
    </row>
    <row r="521" spans="19:19" x14ac:dyDescent="0.25">
      <c r="S521" s="9"/>
    </row>
    <row r="522" spans="19:19" x14ac:dyDescent="0.25">
      <c r="S522" s="9"/>
    </row>
    <row r="523" spans="19:19" x14ac:dyDescent="0.25">
      <c r="S523" s="9"/>
    </row>
    <row r="524" spans="19:19" x14ac:dyDescent="0.25">
      <c r="S524" s="9"/>
    </row>
    <row r="525" spans="19:19" x14ac:dyDescent="0.25">
      <c r="S525" s="9"/>
    </row>
    <row r="526" spans="19:19" x14ac:dyDescent="0.25">
      <c r="S526" s="9"/>
    </row>
    <row r="527" spans="19:19" x14ac:dyDescent="0.25">
      <c r="S527" s="9"/>
    </row>
    <row r="528" spans="19:19" x14ac:dyDescent="0.25">
      <c r="S528" s="9"/>
    </row>
    <row r="529" spans="19:19" x14ac:dyDescent="0.25">
      <c r="S529" s="9"/>
    </row>
    <row r="530" spans="19:19" x14ac:dyDescent="0.25">
      <c r="S530" s="9"/>
    </row>
    <row r="531" spans="19:19" x14ac:dyDescent="0.25">
      <c r="S531" s="9"/>
    </row>
    <row r="532" spans="19:19" x14ac:dyDescent="0.25">
      <c r="S532" s="9"/>
    </row>
    <row r="533" spans="19:19" x14ac:dyDescent="0.25">
      <c r="S533" s="9"/>
    </row>
    <row r="534" spans="19:19" x14ac:dyDescent="0.25">
      <c r="S534" s="9"/>
    </row>
    <row r="535" spans="19:19" x14ac:dyDescent="0.25">
      <c r="S535" s="9"/>
    </row>
    <row r="536" spans="19:19" x14ac:dyDescent="0.25">
      <c r="S536" s="9"/>
    </row>
    <row r="537" spans="19:19" x14ac:dyDescent="0.25">
      <c r="S537" s="9"/>
    </row>
    <row r="538" spans="19:19" x14ac:dyDescent="0.25">
      <c r="S538" s="9"/>
    </row>
    <row r="539" spans="19:19" x14ac:dyDescent="0.25">
      <c r="S539" s="9"/>
    </row>
    <row r="540" spans="19:19" x14ac:dyDescent="0.25">
      <c r="S540" s="9"/>
    </row>
    <row r="541" spans="19:19" x14ac:dyDescent="0.25">
      <c r="S541" s="9"/>
    </row>
    <row r="542" spans="19:19" x14ac:dyDescent="0.25">
      <c r="S542" s="9"/>
    </row>
    <row r="543" spans="19:19" x14ac:dyDescent="0.25">
      <c r="S543" s="9"/>
    </row>
    <row r="544" spans="19:19" x14ac:dyDescent="0.25">
      <c r="S544" s="9"/>
    </row>
    <row r="545" spans="19:19" x14ac:dyDescent="0.25">
      <c r="S545" s="9"/>
    </row>
    <row r="546" spans="19:19" x14ac:dyDescent="0.25">
      <c r="S546" s="9"/>
    </row>
    <row r="547" spans="19:19" x14ac:dyDescent="0.25">
      <c r="S547" s="9"/>
    </row>
    <row r="548" spans="19:19" x14ac:dyDescent="0.25">
      <c r="S548" s="9"/>
    </row>
    <row r="549" spans="19:19" x14ac:dyDescent="0.25">
      <c r="S549" s="9"/>
    </row>
    <row r="550" spans="19:19" x14ac:dyDescent="0.25">
      <c r="S550" s="9"/>
    </row>
    <row r="551" spans="19:19" x14ac:dyDescent="0.25">
      <c r="S551" s="9"/>
    </row>
    <row r="552" spans="19:19" x14ac:dyDescent="0.25">
      <c r="S552" s="9"/>
    </row>
    <row r="553" spans="19:19" x14ac:dyDescent="0.25">
      <c r="S553" s="9"/>
    </row>
    <row r="554" spans="19:19" x14ac:dyDescent="0.25">
      <c r="S554" s="9"/>
    </row>
    <row r="555" spans="19:19" x14ac:dyDescent="0.25">
      <c r="S555" s="9"/>
    </row>
    <row r="556" spans="19:19" x14ac:dyDescent="0.25">
      <c r="S556" s="9"/>
    </row>
    <row r="557" spans="19:19" x14ac:dyDescent="0.25">
      <c r="S557" s="9"/>
    </row>
    <row r="558" spans="19:19" x14ac:dyDescent="0.25">
      <c r="S558" s="9"/>
    </row>
    <row r="559" spans="19:19" x14ac:dyDescent="0.25">
      <c r="S559" s="9"/>
    </row>
    <row r="560" spans="19:19" x14ac:dyDescent="0.25">
      <c r="S560" s="9"/>
    </row>
    <row r="561" spans="19:19" x14ac:dyDescent="0.25">
      <c r="S561" s="9"/>
    </row>
    <row r="562" spans="19:19" x14ac:dyDescent="0.25">
      <c r="S562" s="9"/>
    </row>
    <row r="563" spans="19:19" x14ac:dyDescent="0.25">
      <c r="S563" s="9"/>
    </row>
    <row r="564" spans="19:19" x14ac:dyDescent="0.25">
      <c r="S564" s="9"/>
    </row>
    <row r="565" spans="19:19" x14ac:dyDescent="0.25">
      <c r="S565" s="9"/>
    </row>
    <row r="566" spans="19:19" x14ac:dyDescent="0.25">
      <c r="S566" s="9"/>
    </row>
    <row r="567" spans="19:19" x14ac:dyDescent="0.25">
      <c r="S567" s="9"/>
    </row>
    <row r="568" spans="19:19" x14ac:dyDescent="0.25">
      <c r="S568" s="9"/>
    </row>
    <row r="569" spans="19:19" x14ac:dyDescent="0.25">
      <c r="S569" s="9"/>
    </row>
    <row r="570" spans="19:19" x14ac:dyDescent="0.25">
      <c r="S570" s="9"/>
    </row>
    <row r="571" spans="19:19" x14ac:dyDescent="0.25">
      <c r="S571" s="9"/>
    </row>
    <row r="572" spans="19:19" x14ac:dyDescent="0.25">
      <c r="S572" s="9"/>
    </row>
    <row r="573" spans="19:19" x14ac:dyDescent="0.25">
      <c r="S573" s="9"/>
    </row>
    <row r="574" spans="19:19" x14ac:dyDescent="0.25">
      <c r="S574" s="9"/>
    </row>
    <row r="575" spans="19:19" x14ac:dyDescent="0.25">
      <c r="S575" s="9"/>
    </row>
    <row r="576" spans="19:19" x14ac:dyDescent="0.25">
      <c r="S576" s="9"/>
    </row>
    <row r="577" spans="19:19" x14ac:dyDescent="0.25">
      <c r="S577" s="9"/>
    </row>
    <row r="578" spans="19:19" x14ac:dyDescent="0.25">
      <c r="S578" s="9"/>
    </row>
    <row r="579" spans="19:19" x14ac:dyDescent="0.25">
      <c r="S579" s="9"/>
    </row>
    <row r="580" spans="19:19" x14ac:dyDescent="0.25">
      <c r="S580" s="9"/>
    </row>
    <row r="581" spans="19:19" x14ac:dyDescent="0.25">
      <c r="S581" s="9"/>
    </row>
    <row r="582" spans="19:19" x14ac:dyDescent="0.25">
      <c r="S582" s="9"/>
    </row>
    <row r="583" spans="19:19" x14ac:dyDescent="0.25">
      <c r="S583" s="9"/>
    </row>
    <row r="584" spans="19:19" x14ac:dyDescent="0.25">
      <c r="S584" s="9"/>
    </row>
    <row r="585" spans="19:19" x14ac:dyDescent="0.25">
      <c r="S585" s="9"/>
    </row>
    <row r="586" spans="19:19" x14ac:dyDescent="0.25">
      <c r="S586" s="9"/>
    </row>
    <row r="587" spans="19:19" x14ac:dyDescent="0.25">
      <c r="S587" s="9"/>
    </row>
    <row r="588" spans="19:19" x14ac:dyDescent="0.25">
      <c r="S588" s="9"/>
    </row>
    <row r="589" spans="19:19" x14ac:dyDescent="0.25">
      <c r="S589" s="9"/>
    </row>
    <row r="590" spans="19:19" x14ac:dyDescent="0.25">
      <c r="S590" s="9"/>
    </row>
    <row r="591" spans="19:19" x14ac:dyDescent="0.25">
      <c r="S591" s="9"/>
    </row>
    <row r="592" spans="19:19" x14ac:dyDescent="0.25">
      <c r="S592" s="9"/>
    </row>
    <row r="593" spans="19:19" x14ac:dyDescent="0.25">
      <c r="S593" s="9"/>
    </row>
    <row r="594" spans="19:19" x14ac:dyDescent="0.25">
      <c r="S594" s="9"/>
    </row>
    <row r="595" spans="19:19" x14ac:dyDescent="0.25">
      <c r="S595" s="9"/>
    </row>
    <row r="596" spans="19:19" x14ac:dyDescent="0.25">
      <c r="S596" s="9"/>
    </row>
    <row r="597" spans="19:19" x14ac:dyDescent="0.25">
      <c r="S597" s="9"/>
    </row>
    <row r="598" spans="19:19" x14ac:dyDescent="0.25">
      <c r="S598" s="9"/>
    </row>
    <row r="599" spans="19:19" x14ac:dyDescent="0.25">
      <c r="S599" s="9"/>
    </row>
    <row r="600" spans="19:19" x14ac:dyDescent="0.25">
      <c r="S600" s="9"/>
    </row>
    <row r="601" spans="19:19" x14ac:dyDescent="0.25">
      <c r="S601" s="9"/>
    </row>
    <row r="602" spans="19:19" x14ac:dyDescent="0.25">
      <c r="S602" s="9"/>
    </row>
    <row r="603" spans="19:19" x14ac:dyDescent="0.25">
      <c r="S603" s="9"/>
    </row>
    <row r="604" spans="19:19" x14ac:dyDescent="0.25">
      <c r="S604" s="9"/>
    </row>
    <row r="605" spans="19:19" x14ac:dyDescent="0.25">
      <c r="S605" s="9"/>
    </row>
    <row r="606" spans="19:19" x14ac:dyDescent="0.25">
      <c r="S606" s="9"/>
    </row>
    <row r="607" spans="19:19" x14ac:dyDescent="0.25">
      <c r="S607" s="9"/>
    </row>
    <row r="608" spans="19:19" x14ac:dyDescent="0.25">
      <c r="S608" s="9"/>
    </row>
    <row r="609" spans="19:19" x14ac:dyDescent="0.25">
      <c r="S609" s="9"/>
    </row>
    <row r="610" spans="19:19" x14ac:dyDescent="0.25">
      <c r="S610" s="9"/>
    </row>
    <row r="611" spans="19:19" x14ac:dyDescent="0.25">
      <c r="S611" s="9"/>
    </row>
    <row r="612" spans="19:19" x14ac:dyDescent="0.25">
      <c r="S612" s="9"/>
    </row>
    <row r="613" spans="19:19" x14ac:dyDescent="0.25">
      <c r="S613" s="9"/>
    </row>
    <row r="614" spans="19:19" x14ac:dyDescent="0.25">
      <c r="S614" s="9"/>
    </row>
    <row r="615" spans="19:19" x14ac:dyDescent="0.25">
      <c r="S615" s="9"/>
    </row>
    <row r="616" spans="19:19" x14ac:dyDescent="0.25">
      <c r="S616" s="9"/>
    </row>
    <row r="617" spans="19:19" x14ac:dyDescent="0.25">
      <c r="S617" s="9"/>
    </row>
    <row r="618" spans="19:19" x14ac:dyDescent="0.25">
      <c r="S618" s="9"/>
    </row>
    <row r="619" spans="19:19" x14ac:dyDescent="0.25">
      <c r="S619" s="9"/>
    </row>
    <row r="620" spans="19:19" x14ac:dyDescent="0.25">
      <c r="S620" s="9"/>
    </row>
    <row r="621" spans="19:19" x14ac:dyDescent="0.25">
      <c r="S621" s="9"/>
    </row>
    <row r="622" spans="19:19" x14ac:dyDescent="0.25">
      <c r="S622" s="9"/>
    </row>
    <row r="623" spans="19:19" x14ac:dyDescent="0.25">
      <c r="S623" s="9"/>
    </row>
    <row r="624" spans="19:19" x14ac:dyDescent="0.25">
      <c r="S624" s="9"/>
    </row>
    <row r="625" spans="19:19" x14ac:dyDescent="0.25">
      <c r="S625" s="9"/>
    </row>
    <row r="626" spans="19:19" x14ac:dyDescent="0.25">
      <c r="S626" s="9"/>
    </row>
    <row r="627" spans="19:19" x14ac:dyDescent="0.25">
      <c r="S627" s="9"/>
    </row>
    <row r="628" spans="19:19" x14ac:dyDescent="0.25">
      <c r="S628" s="9"/>
    </row>
    <row r="629" spans="19:19" x14ac:dyDescent="0.25">
      <c r="S629" s="9"/>
    </row>
    <row r="630" spans="19:19" x14ac:dyDescent="0.25">
      <c r="S630" s="9"/>
    </row>
    <row r="631" spans="19:19" x14ac:dyDescent="0.25">
      <c r="S631" s="9"/>
    </row>
    <row r="632" spans="19:19" x14ac:dyDescent="0.25">
      <c r="S632" s="9"/>
    </row>
    <row r="633" spans="19:19" x14ac:dyDescent="0.25">
      <c r="S633" s="9"/>
    </row>
    <row r="634" spans="19:19" x14ac:dyDescent="0.25">
      <c r="S634" s="9"/>
    </row>
    <row r="635" spans="19:19" x14ac:dyDescent="0.25">
      <c r="S635" s="9"/>
    </row>
    <row r="636" spans="19:19" x14ac:dyDescent="0.25">
      <c r="S636" s="9"/>
    </row>
    <row r="637" spans="19:19" x14ac:dyDescent="0.25">
      <c r="S637" s="9"/>
    </row>
    <row r="638" spans="19:19" x14ac:dyDescent="0.25">
      <c r="S638" s="9"/>
    </row>
    <row r="639" spans="19:19" x14ac:dyDescent="0.25">
      <c r="S639" s="9"/>
    </row>
    <row r="640" spans="19:19" x14ac:dyDescent="0.25">
      <c r="S640" s="9"/>
    </row>
    <row r="641" spans="19:19" x14ac:dyDescent="0.25">
      <c r="S641" s="9"/>
    </row>
    <row r="642" spans="19:19" x14ac:dyDescent="0.25">
      <c r="S642" s="9"/>
    </row>
    <row r="643" spans="19:19" x14ac:dyDescent="0.25">
      <c r="S643" s="9"/>
    </row>
    <row r="644" spans="19:19" x14ac:dyDescent="0.25">
      <c r="S644" s="9"/>
    </row>
    <row r="645" spans="19:19" x14ac:dyDescent="0.25">
      <c r="S645" s="9"/>
    </row>
    <row r="646" spans="19:19" x14ac:dyDescent="0.25">
      <c r="S646" s="9"/>
    </row>
    <row r="647" spans="19:19" x14ac:dyDescent="0.25">
      <c r="S647" s="9"/>
    </row>
    <row r="648" spans="19:19" x14ac:dyDescent="0.25">
      <c r="S648" s="9"/>
    </row>
    <row r="649" spans="19:19" x14ac:dyDescent="0.25">
      <c r="S649" s="9"/>
    </row>
    <row r="650" spans="19:19" x14ac:dyDescent="0.25">
      <c r="S650" s="9"/>
    </row>
    <row r="651" spans="19:19" x14ac:dyDescent="0.25">
      <c r="S651" s="9"/>
    </row>
    <row r="652" spans="19:19" x14ac:dyDescent="0.25">
      <c r="S652" s="9"/>
    </row>
    <row r="653" spans="19:19" x14ac:dyDescent="0.25">
      <c r="S653" s="9"/>
    </row>
    <row r="654" spans="19:19" x14ac:dyDescent="0.25">
      <c r="S654" s="9"/>
    </row>
    <row r="655" spans="19:19" x14ac:dyDescent="0.25">
      <c r="S655" s="9"/>
    </row>
    <row r="656" spans="19:19" x14ac:dyDescent="0.25">
      <c r="S656" s="9"/>
    </row>
    <row r="657" spans="19:19" x14ac:dyDescent="0.25">
      <c r="S657" s="9"/>
    </row>
    <row r="658" spans="19:19" x14ac:dyDescent="0.25">
      <c r="S658" s="9"/>
    </row>
    <row r="659" spans="19:19" x14ac:dyDescent="0.25">
      <c r="S659" s="9"/>
    </row>
    <row r="660" spans="19:19" x14ac:dyDescent="0.25">
      <c r="S660" s="9"/>
    </row>
    <row r="661" spans="19:19" x14ac:dyDescent="0.25">
      <c r="S661" s="9"/>
    </row>
    <row r="662" spans="19:19" x14ac:dyDescent="0.25">
      <c r="S662" s="9"/>
    </row>
    <row r="663" spans="19:19" x14ac:dyDescent="0.25">
      <c r="S663" s="9"/>
    </row>
    <row r="664" spans="19:19" x14ac:dyDescent="0.25">
      <c r="S664" s="9"/>
    </row>
    <row r="665" spans="19:19" x14ac:dyDescent="0.25">
      <c r="S665" s="9"/>
    </row>
    <row r="666" spans="19:19" x14ac:dyDescent="0.25">
      <c r="S666" s="9"/>
    </row>
    <row r="667" spans="19:19" x14ac:dyDescent="0.25">
      <c r="S667" s="9"/>
    </row>
    <row r="668" spans="19:19" x14ac:dyDescent="0.25">
      <c r="S668" s="9"/>
    </row>
    <row r="669" spans="19:19" x14ac:dyDescent="0.25">
      <c r="S669" s="9"/>
    </row>
    <row r="670" spans="19:19" x14ac:dyDescent="0.25">
      <c r="S670" s="9"/>
    </row>
    <row r="671" spans="19:19" x14ac:dyDescent="0.25">
      <c r="S671" s="9"/>
    </row>
    <row r="672" spans="19:19" x14ac:dyDescent="0.25">
      <c r="S672" s="9"/>
    </row>
    <row r="673" spans="19:19" x14ac:dyDescent="0.25">
      <c r="S673" s="9"/>
    </row>
    <row r="674" spans="19:19" x14ac:dyDescent="0.25">
      <c r="S674" s="9"/>
    </row>
    <row r="675" spans="19:19" x14ac:dyDescent="0.25">
      <c r="S675" s="9"/>
    </row>
    <row r="676" spans="19:19" x14ac:dyDescent="0.25">
      <c r="S676" s="9"/>
    </row>
    <row r="677" spans="19:19" x14ac:dyDescent="0.25">
      <c r="S677" s="9"/>
    </row>
    <row r="678" spans="19:19" x14ac:dyDescent="0.25">
      <c r="S678" s="9"/>
    </row>
    <row r="679" spans="19:19" x14ac:dyDescent="0.25">
      <c r="S679" s="9"/>
    </row>
    <row r="680" spans="19:19" x14ac:dyDescent="0.25">
      <c r="S680" s="9"/>
    </row>
    <row r="681" spans="19:19" x14ac:dyDescent="0.25">
      <c r="S681" s="9"/>
    </row>
    <row r="682" spans="19:19" x14ac:dyDescent="0.25">
      <c r="S682" s="9"/>
    </row>
    <row r="683" spans="19:19" x14ac:dyDescent="0.25">
      <c r="S683" s="9"/>
    </row>
    <row r="684" spans="19:19" x14ac:dyDescent="0.25">
      <c r="S684" s="9"/>
    </row>
    <row r="685" spans="19:19" x14ac:dyDescent="0.25">
      <c r="S685" s="9"/>
    </row>
    <row r="686" spans="19:19" x14ac:dyDescent="0.25">
      <c r="S686" s="9"/>
    </row>
    <row r="687" spans="19:19" x14ac:dyDescent="0.25">
      <c r="S687" s="9"/>
    </row>
    <row r="688" spans="19:19" x14ac:dyDescent="0.25">
      <c r="S688" s="9"/>
    </row>
    <row r="689" spans="19:19" x14ac:dyDescent="0.25">
      <c r="S689" s="9"/>
    </row>
    <row r="690" spans="19:19" x14ac:dyDescent="0.25">
      <c r="S690" s="9"/>
    </row>
    <row r="691" spans="19:19" x14ac:dyDescent="0.25">
      <c r="S691" s="9"/>
    </row>
    <row r="692" spans="19:19" x14ac:dyDescent="0.25">
      <c r="S692" s="9"/>
    </row>
    <row r="693" spans="19:19" x14ac:dyDescent="0.25">
      <c r="S693" s="9"/>
    </row>
    <row r="694" spans="19:19" x14ac:dyDescent="0.25">
      <c r="S694" s="9"/>
    </row>
    <row r="695" spans="19:19" x14ac:dyDescent="0.25">
      <c r="S695" s="9"/>
    </row>
    <row r="696" spans="19:19" x14ac:dyDescent="0.25">
      <c r="S696" s="9"/>
    </row>
    <row r="697" spans="19:19" x14ac:dyDescent="0.25">
      <c r="S697" s="9"/>
    </row>
    <row r="698" spans="19:19" x14ac:dyDescent="0.25">
      <c r="S698" s="9"/>
    </row>
    <row r="699" spans="19:19" x14ac:dyDescent="0.25">
      <c r="S699" s="9"/>
    </row>
    <row r="700" spans="19:19" x14ac:dyDescent="0.25">
      <c r="S700" s="9"/>
    </row>
    <row r="701" spans="19:19" x14ac:dyDescent="0.25">
      <c r="S701" s="9"/>
    </row>
    <row r="702" spans="19:19" x14ac:dyDescent="0.25">
      <c r="S702" s="9"/>
    </row>
    <row r="703" spans="19:19" x14ac:dyDescent="0.25">
      <c r="S703" s="9"/>
    </row>
    <row r="704" spans="19:19" x14ac:dyDescent="0.25">
      <c r="S704" s="9"/>
    </row>
    <row r="705" spans="19:19" x14ac:dyDescent="0.25">
      <c r="S705" s="9"/>
    </row>
    <row r="706" spans="19:19" x14ac:dyDescent="0.25">
      <c r="S706" s="9"/>
    </row>
    <row r="707" spans="19:19" x14ac:dyDescent="0.25">
      <c r="S707" s="9"/>
    </row>
    <row r="708" spans="19:19" x14ac:dyDescent="0.25">
      <c r="S708" s="9"/>
    </row>
    <row r="709" spans="19:19" x14ac:dyDescent="0.25">
      <c r="S709" s="9"/>
    </row>
    <row r="710" spans="19:19" x14ac:dyDescent="0.25">
      <c r="S710" s="9"/>
    </row>
    <row r="711" spans="19:19" x14ac:dyDescent="0.25">
      <c r="S711" s="9"/>
    </row>
    <row r="712" spans="19:19" x14ac:dyDescent="0.25">
      <c r="S712" s="9"/>
    </row>
    <row r="713" spans="19:19" x14ac:dyDescent="0.25">
      <c r="S713" s="9"/>
    </row>
    <row r="714" spans="19:19" x14ac:dyDescent="0.25">
      <c r="S714" s="9"/>
    </row>
    <row r="715" spans="19:19" x14ac:dyDescent="0.25">
      <c r="S715" s="9"/>
    </row>
    <row r="716" spans="19:19" x14ac:dyDescent="0.25">
      <c r="S716" s="9"/>
    </row>
    <row r="717" spans="19:19" x14ac:dyDescent="0.25">
      <c r="S717" s="9"/>
    </row>
    <row r="718" spans="19:19" x14ac:dyDescent="0.25">
      <c r="S718" s="9"/>
    </row>
    <row r="719" spans="19:19" x14ac:dyDescent="0.25">
      <c r="S719" s="9"/>
    </row>
    <row r="720" spans="19:19" x14ac:dyDescent="0.25">
      <c r="S720" s="9"/>
    </row>
    <row r="721" spans="19:19" x14ac:dyDescent="0.25">
      <c r="S721" s="9"/>
    </row>
    <row r="722" spans="19:19" x14ac:dyDescent="0.25">
      <c r="S722" s="9"/>
    </row>
    <row r="723" spans="19:19" x14ac:dyDescent="0.25">
      <c r="S723" s="9"/>
    </row>
    <row r="724" spans="19:19" x14ac:dyDescent="0.25">
      <c r="S724" s="9"/>
    </row>
    <row r="725" spans="19:19" x14ac:dyDescent="0.25">
      <c r="S725" s="9"/>
    </row>
    <row r="726" spans="19:19" x14ac:dyDescent="0.25">
      <c r="S726" s="9"/>
    </row>
    <row r="727" spans="19:19" x14ac:dyDescent="0.25">
      <c r="S727" s="9"/>
    </row>
    <row r="728" spans="19:19" x14ac:dyDescent="0.25">
      <c r="S728" s="9"/>
    </row>
    <row r="729" spans="19:19" x14ac:dyDescent="0.25">
      <c r="S729" s="9"/>
    </row>
    <row r="730" spans="19:19" x14ac:dyDescent="0.25">
      <c r="S730" s="9"/>
    </row>
    <row r="731" spans="19:19" x14ac:dyDescent="0.25">
      <c r="S731" s="9"/>
    </row>
    <row r="732" spans="19:19" x14ac:dyDescent="0.25">
      <c r="S732" s="9"/>
    </row>
    <row r="733" spans="19:19" x14ac:dyDescent="0.25">
      <c r="S733" s="9"/>
    </row>
    <row r="734" spans="19:19" x14ac:dyDescent="0.25">
      <c r="S734" s="9"/>
    </row>
    <row r="735" spans="19:19" x14ac:dyDescent="0.25">
      <c r="S735" s="9"/>
    </row>
    <row r="736" spans="19:19" x14ac:dyDescent="0.25">
      <c r="S736" s="9"/>
    </row>
    <row r="737" spans="19:19" x14ac:dyDescent="0.25">
      <c r="S737" s="9"/>
    </row>
    <row r="738" spans="19:19" x14ac:dyDescent="0.25">
      <c r="S738" s="9"/>
    </row>
    <row r="739" spans="19:19" x14ac:dyDescent="0.25">
      <c r="S739" s="9"/>
    </row>
    <row r="740" spans="19:19" x14ac:dyDescent="0.25">
      <c r="S740" s="9"/>
    </row>
    <row r="741" spans="19:19" x14ac:dyDescent="0.25">
      <c r="S741" s="9"/>
    </row>
    <row r="742" spans="19:19" x14ac:dyDescent="0.25">
      <c r="S742" s="9"/>
    </row>
    <row r="743" spans="19:19" x14ac:dyDescent="0.25">
      <c r="S743" s="9"/>
    </row>
    <row r="744" spans="19:19" x14ac:dyDescent="0.25">
      <c r="S744" s="9"/>
    </row>
    <row r="745" spans="19:19" x14ac:dyDescent="0.25">
      <c r="S745" s="9"/>
    </row>
    <row r="746" spans="19:19" x14ac:dyDescent="0.25">
      <c r="S746" s="9"/>
    </row>
    <row r="747" spans="19:19" x14ac:dyDescent="0.25">
      <c r="S747" s="9"/>
    </row>
    <row r="748" spans="19:19" x14ac:dyDescent="0.25">
      <c r="S748" s="9"/>
    </row>
    <row r="749" spans="19:19" x14ac:dyDescent="0.25">
      <c r="S749" s="9"/>
    </row>
    <row r="750" spans="19:19" x14ac:dyDescent="0.25">
      <c r="S750" s="9"/>
    </row>
    <row r="751" spans="19:19" x14ac:dyDescent="0.25">
      <c r="S751" s="9"/>
    </row>
    <row r="752" spans="19:19" x14ac:dyDescent="0.25">
      <c r="S752" s="9"/>
    </row>
    <row r="753" spans="19:19" x14ac:dyDescent="0.25">
      <c r="S753" s="9"/>
    </row>
    <row r="754" spans="19:19" x14ac:dyDescent="0.25">
      <c r="S754" s="9"/>
    </row>
    <row r="755" spans="19:19" x14ac:dyDescent="0.25">
      <c r="S755" s="9"/>
    </row>
    <row r="756" spans="19:19" x14ac:dyDescent="0.25">
      <c r="S756" s="9"/>
    </row>
    <row r="757" spans="19:19" x14ac:dyDescent="0.25">
      <c r="S757" s="9"/>
    </row>
    <row r="758" spans="19:19" x14ac:dyDescent="0.25">
      <c r="S758" s="9"/>
    </row>
    <row r="759" spans="19:19" x14ac:dyDescent="0.25">
      <c r="S759" s="9"/>
    </row>
    <row r="760" spans="19:19" x14ac:dyDescent="0.25">
      <c r="S760" s="9"/>
    </row>
    <row r="761" spans="19:19" x14ac:dyDescent="0.25">
      <c r="S761" s="9"/>
    </row>
    <row r="762" spans="19:19" x14ac:dyDescent="0.25">
      <c r="S762" s="9"/>
    </row>
    <row r="763" spans="19:19" x14ac:dyDescent="0.25">
      <c r="S763" s="9"/>
    </row>
    <row r="764" spans="19:19" x14ac:dyDescent="0.25">
      <c r="S764" s="9"/>
    </row>
    <row r="765" spans="19:19" x14ac:dyDescent="0.25">
      <c r="S765" s="9"/>
    </row>
    <row r="766" spans="19:19" x14ac:dyDescent="0.25">
      <c r="S766" s="9"/>
    </row>
    <row r="767" spans="19:19" x14ac:dyDescent="0.25">
      <c r="S767" s="9"/>
    </row>
    <row r="768" spans="19:19" x14ac:dyDescent="0.25">
      <c r="S768" s="9"/>
    </row>
    <row r="769" spans="19:19" x14ac:dyDescent="0.25">
      <c r="S769" s="9"/>
    </row>
    <row r="770" spans="19:19" x14ac:dyDescent="0.25">
      <c r="S770" s="9"/>
    </row>
    <row r="771" spans="19:19" x14ac:dyDescent="0.25">
      <c r="S771" s="9"/>
    </row>
    <row r="772" spans="19:19" x14ac:dyDescent="0.25">
      <c r="S772" s="9"/>
    </row>
    <row r="773" spans="19:19" x14ac:dyDescent="0.25">
      <c r="S773" s="9"/>
    </row>
    <row r="774" spans="19:19" x14ac:dyDescent="0.25">
      <c r="S774" s="9"/>
    </row>
    <row r="775" spans="19:19" x14ac:dyDescent="0.25">
      <c r="S775" s="9"/>
    </row>
    <row r="776" spans="19:19" x14ac:dyDescent="0.25">
      <c r="S776" s="9"/>
    </row>
    <row r="777" spans="19:19" x14ac:dyDescent="0.25">
      <c r="S777" s="9"/>
    </row>
    <row r="778" spans="19:19" x14ac:dyDescent="0.25">
      <c r="S778" s="9"/>
    </row>
    <row r="779" spans="19:19" x14ac:dyDescent="0.25">
      <c r="S779" s="9"/>
    </row>
    <row r="780" spans="19:19" x14ac:dyDescent="0.25">
      <c r="S780" s="9"/>
    </row>
    <row r="781" spans="19:19" x14ac:dyDescent="0.25">
      <c r="S781" s="9"/>
    </row>
    <row r="782" spans="19:19" x14ac:dyDescent="0.25">
      <c r="S782" s="9"/>
    </row>
    <row r="783" spans="19:19" x14ac:dyDescent="0.25">
      <c r="S783" s="9"/>
    </row>
    <row r="784" spans="19:19" x14ac:dyDescent="0.25">
      <c r="S784" s="9"/>
    </row>
    <row r="785" spans="19:19" x14ac:dyDescent="0.25">
      <c r="S785" s="9"/>
    </row>
    <row r="786" spans="19:19" x14ac:dyDescent="0.25">
      <c r="S786" s="9"/>
    </row>
    <row r="787" spans="19:19" x14ac:dyDescent="0.25">
      <c r="S787" s="9"/>
    </row>
    <row r="788" spans="19:19" x14ac:dyDescent="0.25">
      <c r="S788" s="9"/>
    </row>
    <row r="789" spans="19:19" x14ac:dyDescent="0.25">
      <c r="S789" s="9"/>
    </row>
    <row r="790" spans="19:19" x14ac:dyDescent="0.25">
      <c r="S790" s="9"/>
    </row>
    <row r="791" spans="19:19" x14ac:dyDescent="0.25">
      <c r="S791" s="9"/>
    </row>
    <row r="792" spans="19:19" x14ac:dyDescent="0.25">
      <c r="S792" s="9"/>
    </row>
    <row r="793" spans="19:19" x14ac:dyDescent="0.25">
      <c r="S793" s="9"/>
    </row>
    <row r="794" spans="19:19" x14ac:dyDescent="0.25">
      <c r="S794" s="9"/>
    </row>
    <row r="795" spans="19:19" x14ac:dyDescent="0.25">
      <c r="S795" s="9"/>
    </row>
    <row r="796" spans="19:19" x14ac:dyDescent="0.25">
      <c r="S796" s="9"/>
    </row>
    <row r="797" spans="19:19" x14ac:dyDescent="0.25">
      <c r="S797" s="9"/>
    </row>
    <row r="798" spans="19:19" x14ac:dyDescent="0.25">
      <c r="S798" s="9"/>
    </row>
    <row r="799" spans="19:19" x14ac:dyDescent="0.25">
      <c r="S799" s="9"/>
    </row>
    <row r="800" spans="19:19" x14ac:dyDescent="0.25">
      <c r="S800" s="9"/>
    </row>
    <row r="801" spans="19:19" x14ac:dyDescent="0.25">
      <c r="S801" s="9"/>
    </row>
    <row r="802" spans="19:19" x14ac:dyDescent="0.25">
      <c r="S802" s="9"/>
    </row>
    <row r="803" spans="19:19" x14ac:dyDescent="0.25">
      <c r="S803" s="9"/>
    </row>
    <row r="804" spans="19:19" x14ac:dyDescent="0.25">
      <c r="S804" s="9"/>
    </row>
    <row r="805" spans="19:19" x14ac:dyDescent="0.25">
      <c r="S805" s="9"/>
    </row>
    <row r="806" spans="19:19" x14ac:dyDescent="0.25">
      <c r="S806" s="9"/>
    </row>
    <row r="807" spans="19:19" x14ac:dyDescent="0.25">
      <c r="S807" s="9"/>
    </row>
    <row r="808" spans="19:19" x14ac:dyDescent="0.25">
      <c r="S808" s="9"/>
    </row>
    <row r="809" spans="19:19" x14ac:dyDescent="0.25">
      <c r="S809" s="9"/>
    </row>
    <row r="810" spans="19:19" x14ac:dyDescent="0.25">
      <c r="S810" s="9"/>
    </row>
    <row r="811" spans="19:19" x14ac:dyDescent="0.25">
      <c r="S811" s="9"/>
    </row>
    <row r="812" spans="19:19" x14ac:dyDescent="0.25">
      <c r="S812" s="9"/>
    </row>
    <row r="813" spans="19:19" x14ac:dyDescent="0.25">
      <c r="S813" s="9"/>
    </row>
    <row r="814" spans="19:19" x14ac:dyDescent="0.25">
      <c r="S814" s="9"/>
    </row>
    <row r="815" spans="19:19" x14ac:dyDescent="0.25">
      <c r="S815" s="9"/>
    </row>
    <row r="816" spans="19:19" x14ac:dyDescent="0.25">
      <c r="S816" s="9"/>
    </row>
    <row r="817" spans="19:19" x14ac:dyDescent="0.25">
      <c r="S817" s="9"/>
    </row>
    <row r="818" spans="19:19" x14ac:dyDescent="0.25">
      <c r="S818" s="9"/>
    </row>
    <row r="819" spans="19:19" x14ac:dyDescent="0.25">
      <c r="S819" s="9"/>
    </row>
    <row r="820" spans="19:19" x14ac:dyDescent="0.25">
      <c r="S820" s="9"/>
    </row>
    <row r="821" spans="19:19" x14ac:dyDescent="0.25">
      <c r="S821" s="9"/>
    </row>
    <row r="822" spans="19:19" x14ac:dyDescent="0.25">
      <c r="S822" s="9"/>
    </row>
    <row r="823" spans="19:19" x14ac:dyDescent="0.25">
      <c r="S823" s="9"/>
    </row>
    <row r="824" spans="19:19" x14ac:dyDescent="0.25">
      <c r="S824" s="9"/>
    </row>
    <row r="825" spans="19:19" x14ac:dyDescent="0.25">
      <c r="S825" s="9"/>
    </row>
    <row r="826" spans="19:19" x14ac:dyDescent="0.25">
      <c r="S826" s="9"/>
    </row>
    <row r="827" spans="19:19" x14ac:dyDescent="0.25">
      <c r="S827" s="9"/>
    </row>
    <row r="828" spans="19:19" x14ac:dyDescent="0.25">
      <c r="S828" s="9"/>
    </row>
    <row r="829" spans="19:19" x14ac:dyDescent="0.25">
      <c r="S829" s="9"/>
    </row>
    <row r="830" spans="19:19" x14ac:dyDescent="0.25">
      <c r="S830" s="9"/>
    </row>
    <row r="831" spans="19:19" x14ac:dyDescent="0.25">
      <c r="S831" s="9"/>
    </row>
    <row r="832" spans="19:19" x14ac:dyDescent="0.25">
      <c r="S832" s="9"/>
    </row>
    <row r="833" spans="19:19" x14ac:dyDescent="0.25">
      <c r="S833" s="9"/>
    </row>
    <row r="834" spans="19:19" x14ac:dyDescent="0.25">
      <c r="S834" s="9"/>
    </row>
    <row r="835" spans="19:19" x14ac:dyDescent="0.25">
      <c r="S835" s="9"/>
    </row>
    <row r="836" spans="19:19" x14ac:dyDescent="0.25">
      <c r="S836" s="9"/>
    </row>
    <row r="837" spans="19:19" x14ac:dyDescent="0.25">
      <c r="S837" s="9"/>
    </row>
    <row r="838" spans="19:19" x14ac:dyDescent="0.25">
      <c r="S838" s="9"/>
    </row>
    <row r="839" spans="19:19" x14ac:dyDescent="0.25">
      <c r="S839" s="9"/>
    </row>
    <row r="840" spans="19:19" x14ac:dyDescent="0.25">
      <c r="S840" s="9"/>
    </row>
    <row r="841" spans="19:19" x14ac:dyDescent="0.25">
      <c r="S841" s="9"/>
    </row>
    <row r="842" spans="19:19" x14ac:dyDescent="0.25">
      <c r="S842" s="9"/>
    </row>
    <row r="843" spans="19:19" x14ac:dyDescent="0.25">
      <c r="S843" s="9"/>
    </row>
    <row r="844" spans="19:19" x14ac:dyDescent="0.25">
      <c r="S844" s="9"/>
    </row>
    <row r="845" spans="19:19" x14ac:dyDescent="0.25">
      <c r="S845" s="9"/>
    </row>
    <row r="846" spans="19:19" x14ac:dyDescent="0.25">
      <c r="S846" s="9"/>
    </row>
    <row r="847" spans="19:19" x14ac:dyDescent="0.25">
      <c r="S847" s="9"/>
    </row>
    <row r="848" spans="19:19" x14ac:dyDescent="0.25">
      <c r="S848" s="9"/>
    </row>
    <row r="849" spans="19:19" x14ac:dyDescent="0.25">
      <c r="S849" s="9"/>
    </row>
    <row r="850" spans="19:19" x14ac:dyDescent="0.25">
      <c r="S850" s="9"/>
    </row>
    <row r="851" spans="19:19" x14ac:dyDescent="0.25">
      <c r="S851" s="9"/>
    </row>
    <row r="852" spans="19:19" x14ac:dyDescent="0.25">
      <c r="S852" s="9"/>
    </row>
    <row r="853" spans="19:19" x14ac:dyDescent="0.25">
      <c r="S853" s="9"/>
    </row>
    <row r="854" spans="19:19" x14ac:dyDescent="0.25">
      <c r="S854" s="9"/>
    </row>
    <row r="855" spans="19:19" x14ac:dyDescent="0.25">
      <c r="S855" s="9"/>
    </row>
    <row r="856" spans="19:19" x14ac:dyDescent="0.25">
      <c r="S856" s="9"/>
    </row>
    <row r="857" spans="19:19" x14ac:dyDescent="0.25">
      <c r="S857" s="9"/>
    </row>
    <row r="858" spans="19:19" x14ac:dyDescent="0.25">
      <c r="S858" s="9"/>
    </row>
    <row r="859" spans="19:19" x14ac:dyDescent="0.25">
      <c r="S859" s="9"/>
    </row>
    <row r="860" spans="19:19" x14ac:dyDescent="0.25">
      <c r="S860" s="9"/>
    </row>
    <row r="861" spans="19:19" x14ac:dyDescent="0.25">
      <c r="S861" s="9"/>
    </row>
    <row r="862" spans="19:19" x14ac:dyDescent="0.25">
      <c r="S862" s="9"/>
    </row>
    <row r="863" spans="19:19" x14ac:dyDescent="0.25">
      <c r="S863" s="9"/>
    </row>
    <row r="864" spans="19:19" x14ac:dyDescent="0.25">
      <c r="S864" s="9"/>
    </row>
    <row r="865" spans="19:19" x14ac:dyDescent="0.25">
      <c r="S865" s="9"/>
    </row>
    <row r="866" spans="19:19" x14ac:dyDescent="0.25">
      <c r="S866" s="9"/>
    </row>
    <row r="867" spans="19:19" x14ac:dyDescent="0.25">
      <c r="S867" s="9"/>
    </row>
    <row r="868" spans="19:19" x14ac:dyDescent="0.25">
      <c r="S868" s="9"/>
    </row>
    <row r="869" spans="19:19" x14ac:dyDescent="0.25">
      <c r="S869" s="9"/>
    </row>
    <row r="870" spans="19:19" x14ac:dyDescent="0.25">
      <c r="S870" s="9"/>
    </row>
    <row r="871" spans="19:19" x14ac:dyDescent="0.25">
      <c r="S871" s="9"/>
    </row>
    <row r="872" spans="19:19" x14ac:dyDescent="0.25">
      <c r="S872" s="9"/>
    </row>
    <row r="873" spans="19:19" x14ac:dyDescent="0.25">
      <c r="S873" s="9"/>
    </row>
    <row r="874" spans="19:19" x14ac:dyDescent="0.25">
      <c r="S874" s="9"/>
    </row>
    <row r="875" spans="19:19" x14ac:dyDescent="0.25">
      <c r="S875" s="9"/>
    </row>
    <row r="876" spans="19:19" x14ac:dyDescent="0.25">
      <c r="S876" s="9"/>
    </row>
    <row r="877" spans="19:19" x14ac:dyDescent="0.25">
      <c r="S877" s="9"/>
    </row>
    <row r="878" spans="19:19" x14ac:dyDescent="0.25">
      <c r="S878" s="9"/>
    </row>
    <row r="879" spans="19:19" x14ac:dyDescent="0.25">
      <c r="S879" s="9"/>
    </row>
    <row r="880" spans="19:19" x14ac:dyDescent="0.25">
      <c r="S880" s="9"/>
    </row>
    <row r="881" spans="19:19" x14ac:dyDescent="0.25">
      <c r="S881" s="9"/>
    </row>
    <row r="882" spans="19:19" x14ac:dyDescent="0.25">
      <c r="S882" s="9"/>
    </row>
    <row r="883" spans="19:19" x14ac:dyDescent="0.25">
      <c r="S883" s="9"/>
    </row>
    <row r="884" spans="19:19" x14ac:dyDescent="0.25">
      <c r="S884" s="9"/>
    </row>
    <row r="885" spans="19:19" x14ac:dyDescent="0.25">
      <c r="S885" s="9"/>
    </row>
    <row r="886" spans="19:19" x14ac:dyDescent="0.25">
      <c r="S886" s="9"/>
    </row>
    <row r="887" spans="19:19" x14ac:dyDescent="0.25">
      <c r="S887" s="9"/>
    </row>
    <row r="888" spans="19:19" x14ac:dyDescent="0.25">
      <c r="S888" s="9"/>
    </row>
    <row r="889" spans="19:19" x14ac:dyDescent="0.25">
      <c r="S889" s="9"/>
    </row>
    <row r="890" spans="19:19" x14ac:dyDescent="0.25">
      <c r="S890" s="9"/>
    </row>
    <row r="891" spans="19:19" x14ac:dyDescent="0.25">
      <c r="S891" s="9"/>
    </row>
    <row r="892" spans="19:19" x14ac:dyDescent="0.25">
      <c r="S892" s="9"/>
    </row>
    <row r="893" spans="19:19" x14ac:dyDescent="0.25">
      <c r="S893" s="9"/>
    </row>
    <row r="894" spans="19:19" x14ac:dyDescent="0.25">
      <c r="S894" s="9"/>
    </row>
    <row r="895" spans="19:19" x14ac:dyDescent="0.25">
      <c r="S895" s="9"/>
    </row>
    <row r="896" spans="19:19" x14ac:dyDescent="0.25">
      <c r="S896" s="9"/>
    </row>
    <row r="897" spans="19:19" x14ac:dyDescent="0.25">
      <c r="S897" s="9"/>
    </row>
    <row r="898" spans="19:19" x14ac:dyDescent="0.25">
      <c r="S898" s="9"/>
    </row>
    <row r="899" spans="19:19" x14ac:dyDescent="0.25">
      <c r="S899" s="9"/>
    </row>
    <row r="900" spans="19:19" x14ac:dyDescent="0.25">
      <c r="S900" s="9"/>
    </row>
    <row r="901" spans="19:19" x14ac:dyDescent="0.25">
      <c r="S901" s="9"/>
    </row>
    <row r="902" spans="19:19" x14ac:dyDescent="0.25">
      <c r="S902" s="9"/>
    </row>
    <row r="903" spans="19:19" x14ac:dyDescent="0.25">
      <c r="S903" s="9"/>
    </row>
    <row r="904" spans="19:19" x14ac:dyDescent="0.25">
      <c r="S904" s="9"/>
    </row>
    <row r="905" spans="19:19" x14ac:dyDescent="0.25">
      <c r="S905" s="9"/>
    </row>
    <row r="906" spans="19:19" x14ac:dyDescent="0.25">
      <c r="S906" s="9"/>
    </row>
    <row r="907" spans="19:19" x14ac:dyDescent="0.25">
      <c r="S907" s="9"/>
    </row>
    <row r="908" spans="19:19" x14ac:dyDescent="0.25">
      <c r="S908" s="9"/>
    </row>
    <row r="909" spans="19:19" x14ac:dyDescent="0.25">
      <c r="S909" s="9"/>
    </row>
    <row r="910" spans="19:19" x14ac:dyDescent="0.25">
      <c r="S910" s="9"/>
    </row>
    <row r="911" spans="19:19" x14ac:dyDescent="0.25">
      <c r="S911" s="9"/>
    </row>
    <row r="912" spans="19:19" x14ac:dyDescent="0.25">
      <c r="S912" s="9"/>
    </row>
    <row r="913" spans="19:19" x14ac:dyDescent="0.25">
      <c r="S913" s="9"/>
    </row>
    <row r="914" spans="19:19" x14ac:dyDescent="0.25">
      <c r="S914" s="9"/>
    </row>
    <row r="915" spans="19:19" x14ac:dyDescent="0.25">
      <c r="S915" s="9"/>
    </row>
    <row r="916" spans="19:19" x14ac:dyDescent="0.25">
      <c r="S916" s="9"/>
    </row>
    <row r="917" spans="19:19" x14ac:dyDescent="0.25">
      <c r="S917" s="9"/>
    </row>
    <row r="918" spans="19:19" x14ac:dyDescent="0.25">
      <c r="S918" s="9"/>
    </row>
    <row r="919" spans="19:19" x14ac:dyDescent="0.25">
      <c r="S919" s="9"/>
    </row>
    <row r="920" spans="19:19" x14ac:dyDescent="0.25">
      <c r="S920" s="9"/>
    </row>
    <row r="921" spans="19:19" x14ac:dyDescent="0.25">
      <c r="S921" s="9"/>
    </row>
    <row r="922" spans="19:19" x14ac:dyDescent="0.25">
      <c r="S922" s="9"/>
    </row>
    <row r="923" spans="19:19" x14ac:dyDescent="0.25">
      <c r="S923" s="9"/>
    </row>
    <row r="924" spans="19:19" x14ac:dyDescent="0.25">
      <c r="S924" s="9"/>
    </row>
    <row r="925" spans="19:19" x14ac:dyDescent="0.25">
      <c r="S925" s="9"/>
    </row>
    <row r="926" spans="19:19" x14ac:dyDescent="0.25">
      <c r="S926" s="9"/>
    </row>
    <row r="927" spans="19:19" x14ac:dyDescent="0.25">
      <c r="S927" s="9"/>
    </row>
    <row r="928" spans="19:19" x14ac:dyDescent="0.25">
      <c r="S928" s="9"/>
    </row>
    <row r="929" spans="19:19" x14ac:dyDescent="0.25">
      <c r="S929" s="9"/>
    </row>
    <row r="930" spans="19:19" x14ac:dyDescent="0.25">
      <c r="S930" s="9"/>
    </row>
    <row r="931" spans="19:19" x14ac:dyDescent="0.25">
      <c r="S931" s="9"/>
    </row>
    <row r="932" spans="19:19" x14ac:dyDescent="0.25">
      <c r="S932" s="9"/>
    </row>
    <row r="933" spans="19:19" x14ac:dyDescent="0.25">
      <c r="S933" s="9"/>
    </row>
    <row r="934" spans="19:19" x14ac:dyDescent="0.25">
      <c r="S934" s="9"/>
    </row>
    <row r="935" spans="19:19" x14ac:dyDescent="0.25">
      <c r="S935" s="9"/>
    </row>
    <row r="936" spans="19:19" x14ac:dyDescent="0.25">
      <c r="S936" s="9"/>
    </row>
    <row r="937" spans="19:19" x14ac:dyDescent="0.25">
      <c r="S937" s="9"/>
    </row>
    <row r="938" spans="19:19" x14ac:dyDescent="0.25">
      <c r="S938" s="9"/>
    </row>
    <row r="939" spans="19:19" x14ac:dyDescent="0.25">
      <c r="S939" s="9"/>
    </row>
    <row r="940" spans="19:19" x14ac:dyDescent="0.25">
      <c r="S940" s="9"/>
    </row>
    <row r="941" spans="19:19" x14ac:dyDescent="0.25">
      <c r="S941" s="9"/>
    </row>
    <row r="942" spans="19:19" x14ac:dyDescent="0.25">
      <c r="S942" s="9"/>
    </row>
    <row r="943" spans="19:19" x14ac:dyDescent="0.25">
      <c r="S943" s="9"/>
    </row>
    <row r="944" spans="19:19" x14ac:dyDescent="0.25">
      <c r="S944" s="9"/>
    </row>
    <row r="945" spans="19:19" x14ac:dyDescent="0.25">
      <c r="S945" s="9"/>
    </row>
    <row r="946" spans="19:19" x14ac:dyDescent="0.25">
      <c r="S946" s="9"/>
    </row>
    <row r="947" spans="19:19" x14ac:dyDescent="0.25">
      <c r="S947" s="9"/>
    </row>
    <row r="948" spans="19:19" x14ac:dyDescent="0.25">
      <c r="S948" s="9"/>
    </row>
    <row r="949" spans="19:19" x14ac:dyDescent="0.25">
      <c r="S949" s="9"/>
    </row>
    <row r="950" spans="19:19" x14ac:dyDescent="0.25">
      <c r="S950" s="9"/>
    </row>
    <row r="951" spans="19:19" x14ac:dyDescent="0.25">
      <c r="S951" s="9"/>
    </row>
    <row r="952" spans="19:19" x14ac:dyDescent="0.25">
      <c r="S952" s="9"/>
    </row>
    <row r="953" spans="19:19" x14ac:dyDescent="0.25">
      <c r="S953" s="9"/>
    </row>
    <row r="954" spans="19:19" x14ac:dyDescent="0.25">
      <c r="S954" s="9"/>
    </row>
    <row r="955" spans="19:19" x14ac:dyDescent="0.25">
      <c r="S955" s="9"/>
    </row>
    <row r="956" spans="19:19" x14ac:dyDescent="0.25">
      <c r="S956" s="9"/>
    </row>
    <row r="957" spans="19:19" x14ac:dyDescent="0.25">
      <c r="S957" s="9"/>
    </row>
    <row r="958" spans="19:19" x14ac:dyDescent="0.25">
      <c r="S958" s="9"/>
    </row>
    <row r="959" spans="19:19" x14ac:dyDescent="0.25">
      <c r="S959" s="9"/>
    </row>
    <row r="960" spans="19:19" x14ac:dyDescent="0.25">
      <c r="S960" s="9"/>
    </row>
    <row r="961" spans="19:19" x14ac:dyDescent="0.25">
      <c r="S961" s="9"/>
    </row>
    <row r="962" spans="19:19" x14ac:dyDescent="0.25">
      <c r="S962" s="9"/>
    </row>
    <row r="963" spans="19:19" x14ac:dyDescent="0.25">
      <c r="S963" s="9"/>
    </row>
    <row r="964" spans="19:19" x14ac:dyDescent="0.25">
      <c r="S964" s="9"/>
    </row>
    <row r="965" spans="19:19" x14ac:dyDescent="0.25">
      <c r="S965" s="9"/>
    </row>
    <row r="966" spans="19:19" x14ac:dyDescent="0.25">
      <c r="S966" s="9"/>
    </row>
    <row r="967" spans="19:19" x14ac:dyDescent="0.25">
      <c r="S967" s="9"/>
    </row>
    <row r="968" spans="19:19" x14ac:dyDescent="0.25">
      <c r="S968" s="9"/>
    </row>
    <row r="969" spans="19:19" x14ac:dyDescent="0.25">
      <c r="S969" s="9"/>
    </row>
    <row r="970" spans="19:19" x14ac:dyDescent="0.25">
      <c r="S970" s="9"/>
    </row>
    <row r="971" spans="19:19" x14ac:dyDescent="0.25">
      <c r="S971" s="9"/>
    </row>
    <row r="972" spans="19:19" x14ac:dyDescent="0.25">
      <c r="S972" s="9"/>
    </row>
    <row r="973" spans="19:19" x14ac:dyDescent="0.25">
      <c r="S973" s="9"/>
    </row>
    <row r="974" spans="19:19" x14ac:dyDescent="0.25">
      <c r="S974" s="9"/>
    </row>
    <row r="975" spans="19:19" x14ac:dyDescent="0.25">
      <c r="S975" s="9"/>
    </row>
    <row r="976" spans="19:19" x14ac:dyDescent="0.25">
      <c r="S976" s="9"/>
    </row>
    <row r="977" spans="19:19" x14ac:dyDescent="0.25">
      <c r="S977" s="9"/>
    </row>
    <row r="978" spans="19:19" x14ac:dyDescent="0.25">
      <c r="S978" s="9"/>
    </row>
    <row r="979" spans="19:19" x14ac:dyDescent="0.25">
      <c r="S979" s="9"/>
    </row>
    <row r="980" spans="19:19" x14ac:dyDescent="0.25">
      <c r="S980" s="9"/>
    </row>
    <row r="981" spans="19:19" x14ac:dyDescent="0.25">
      <c r="S981" s="9"/>
    </row>
    <row r="982" spans="19:19" x14ac:dyDescent="0.25">
      <c r="S982" s="9"/>
    </row>
    <row r="983" spans="19:19" x14ac:dyDescent="0.25">
      <c r="S983" s="9"/>
    </row>
    <row r="984" spans="19:19" x14ac:dyDescent="0.25">
      <c r="S984" s="9"/>
    </row>
    <row r="985" spans="19:19" x14ac:dyDescent="0.25">
      <c r="S985" s="9"/>
    </row>
    <row r="986" spans="19:19" x14ac:dyDescent="0.25">
      <c r="S986" s="9"/>
    </row>
    <row r="987" spans="19:19" x14ac:dyDescent="0.25">
      <c r="S987" s="9"/>
    </row>
    <row r="988" spans="19:19" x14ac:dyDescent="0.25">
      <c r="S988" s="9"/>
    </row>
    <row r="989" spans="19:19" x14ac:dyDescent="0.25">
      <c r="S989" s="9"/>
    </row>
    <row r="990" spans="19:19" x14ac:dyDescent="0.25">
      <c r="S990" s="9"/>
    </row>
    <row r="991" spans="19:19" x14ac:dyDescent="0.25">
      <c r="S991" s="9"/>
    </row>
    <row r="992" spans="19:19" x14ac:dyDescent="0.25">
      <c r="S992" s="9"/>
    </row>
    <row r="993" spans="19:19" x14ac:dyDescent="0.25">
      <c r="S993" s="9"/>
    </row>
    <row r="994" spans="19:19" x14ac:dyDescent="0.25">
      <c r="S994" s="9"/>
    </row>
    <row r="995" spans="19:19" x14ac:dyDescent="0.25">
      <c r="S995" s="9"/>
    </row>
    <row r="996" spans="19:19" x14ac:dyDescent="0.25">
      <c r="S996" s="9"/>
    </row>
  </sheetData>
  <autoFilter ref="A5:Z70" xr:uid="{00000000-0009-0000-0000-000003000000}">
    <filterColumn colId="9">
      <customFilters>
        <customFilter operator="notEqual" val=" "/>
      </customFilters>
    </filterColumn>
  </autoFilter>
  <pageMargins left="0.7" right="0.7" top="0.75" bottom="0.75" header="0.3" footer="0.3"/>
  <pageSetup paperSize="8" fitToWidth="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22"/>
  <sheetViews>
    <sheetView workbookViewId="0">
      <selection activeCell="D29" sqref="D29"/>
    </sheetView>
  </sheetViews>
  <sheetFormatPr defaultRowHeight="15" x14ac:dyDescent="0.25"/>
  <cols>
    <col min="1" max="1" width="23" customWidth="1"/>
    <col min="3" max="3" width="16.7109375" customWidth="1"/>
  </cols>
  <sheetData>
    <row r="2" spans="1:11" x14ac:dyDescent="0.25">
      <c r="A2" s="2" t="s">
        <v>79</v>
      </c>
      <c r="C2" t="s">
        <v>78</v>
      </c>
    </row>
    <row r="4" spans="1:11" x14ac:dyDescent="0.25">
      <c r="A4" s="2" t="s">
        <v>60</v>
      </c>
      <c r="D4">
        <v>2016</v>
      </c>
    </row>
    <row r="6" spans="1:11" x14ac:dyDescent="0.25">
      <c r="D6" s="2" t="s">
        <v>61</v>
      </c>
      <c r="E6" s="2" t="s">
        <v>62</v>
      </c>
      <c r="I6" s="2" t="s">
        <v>62</v>
      </c>
      <c r="J6" s="2" t="s">
        <v>61</v>
      </c>
    </row>
    <row r="7" spans="1:11" x14ac:dyDescent="0.25"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/>
      <c r="H7" s="3" t="s">
        <v>68</v>
      </c>
      <c r="I7" s="3" t="s">
        <v>69</v>
      </c>
      <c r="J7" s="3" t="s">
        <v>70</v>
      </c>
      <c r="K7" s="3" t="s">
        <v>71</v>
      </c>
    </row>
    <row r="8" spans="1:11" x14ac:dyDescent="0.25"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5">
      <c r="A9" t="s">
        <v>29</v>
      </c>
      <c r="B9" s="4">
        <v>2</v>
      </c>
      <c r="C9" s="4">
        <v>49830</v>
      </c>
      <c r="D9" s="4">
        <v>20400</v>
      </c>
      <c r="E9" s="4"/>
      <c r="F9" s="4">
        <f>C9+D9</f>
        <v>70230</v>
      </c>
      <c r="G9" s="4"/>
      <c r="H9" s="4">
        <v>69243</v>
      </c>
      <c r="I9" s="4">
        <v>2380</v>
      </c>
      <c r="J9" s="4"/>
      <c r="K9" s="4">
        <f>H9-F9+I9</f>
        <v>1393</v>
      </c>
    </row>
    <row r="10" spans="1:11" x14ac:dyDescent="0.25">
      <c r="B10" s="4"/>
      <c r="C10" s="4"/>
      <c r="D10" s="4"/>
      <c r="E10" s="4"/>
      <c r="F10" s="4"/>
      <c r="G10" s="4"/>
      <c r="H10" s="4"/>
      <c r="K10" s="4"/>
    </row>
    <row r="11" spans="1:11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t="s">
        <v>75</v>
      </c>
      <c r="B12" s="4">
        <v>3</v>
      </c>
      <c r="C12" s="5">
        <v>195800</v>
      </c>
      <c r="D12" s="4">
        <v>64350</v>
      </c>
      <c r="E12" s="4">
        <v>2380</v>
      </c>
      <c r="F12" s="4">
        <f>C12+D12+E12</f>
        <v>262530</v>
      </c>
      <c r="G12" s="4"/>
      <c r="H12" s="4">
        <v>271833</v>
      </c>
      <c r="I12" s="4"/>
      <c r="J12" s="4"/>
      <c r="K12" s="4">
        <f>H12-F12</f>
        <v>9303</v>
      </c>
    </row>
    <row r="13" spans="1:11" x14ac:dyDescent="0.25">
      <c r="A13" s="6" t="s">
        <v>72</v>
      </c>
      <c r="B13" s="7"/>
      <c r="C13" s="7"/>
      <c r="D13" s="7"/>
      <c r="E13" s="7"/>
      <c r="F13" s="7"/>
      <c r="G13" s="7"/>
      <c r="H13" s="7">
        <v>20833</v>
      </c>
      <c r="I13" s="7"/>
      <c r="J13" s="7"/>
      <c r="K13" s="7">
        <f>H13-F13</f>
        <v>20833</v>
      </c>
    </row>
    <row r="14" spans="1:11" x14ac:dyDescent="0.25">
      <c r="A14" s="6" t="s">
        <v>74</v>
      </c>
      <c r="B14" s="7"/>
      <c r="C14" s="7">
        <f>C12-C13</f>
        <v>195800</v>
      </c>
      <c r="D14" s="7">
        <f>D12-D13</f>
        <v>64350</v>
      </c>
      <c r="E14" s="7">
        <f>E12-E13</f>
        <v>2380</v>
      </c>
      <c r="F14" s="7">
        <f>F12-F13</f>
        <v>262530</v>
      </c>
      <c r="G14" s="7"/>
      <c r="H14" s="7">
        <f>H12-H13</f>
        <v>251000</v>
      </c>
      <c r="I14" s="7"/>
      <c r="J14" s="7"/>
      <c r="K14" s="7">
        <f>K12-K13</f>
        <v>-11530</v>
      </c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A17" s="4"/>
      <c r="B17" s="4">
        <v>1</v>
      </c>
      <c r="C17" s="4">
        <v>88750</v>
      </c>
      <c r="E17" s="4"/>
      <c r="F17" s="4">
        <f>C17+D17+E17</f>
        <v>88750</v>
      </c>
      <c r="G17" s="4"/>
      <c r="H17" s="4"/>
      <c r="I17" s="4"/>
      <c r="J17" s="4">
        <v>84750</v>
      </c>
      <c r="K17" s="4">
        <f>J17-F17</f>
        <v>-4000</v>
      </c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5">
      <c r="A20" s="3" t="s">
        <v>73</v>
      </c>
      <c r="B20" s="3"/>
      <c r="C20" s="3">
        <f>C9+C12+C17</f>
        <v>334380</v>
      </c>
      <c r="D20" s="3">
        <f>D9+D12+D17</f>
        <v>84750</v>
      </c>
      <c r="E20" s="3">
        <f>E9+E12+E17</f>
        <v>2380</v>
      </c>
      <c r="F20" s="3">
        <f>F9+F12+F17</f>
        <v>421510</v>
      </c>
      <c r="G20" s="3"/>
      <c r="H20" s="3">
        <f>H9+H12+H17</f>
        <v>341076</v>
      </c>
      <c r="I20" s="3">
        <f>I9+I12+I17</f>
        <v>2380</v>
      </c>
      <c r="J20" s="3">
        <f>J9+J12+J17</f>
        <v>84750</v>
      </c>
      <c r="K20" s="3">
        <f>K9+K12+K17</f>
        <v>6696</v>
      </c>
    </row>
    <row r="21" spans="1:11" ht="18.75" x14ac:dyDescent="0.3">
      <c r="A21" s="4" t="s">
        <v>34</v>
      </c>
      <c r="B21" s="4"/>
      <c r="C21" s="4">
        <v>2400</v>
      </c>
      <c r="D21" s="4"/>
      <c r="E21" s="4"/>
      <c r="F21" s="3">
        <f>C21</f>
        <v>2400</v>
      </c>
      <c r="G21" s="4"/>
      <c r="H21" s="4"/>
      <c r="I21" s="4"/>
      <c r="J21" s="4"/>
      <c r="K21" s="1">
        <f>K20-F21</f>
        <v>4296</v>
      </c>
    </row>
    <row r="22" spans="1:11" x14ac:dyDescent="0.25">
      <c r="I22" t="s">
        <v>76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Finančný plán</vt:lpstr>
      <vt:lpstr>FP vzdelávanie</vt:lpstr>
      <vt:lpstr> výsledovky 17-22-24</vt:lpstr>
      <vt:lpstr>2015 -  2016</vt:lpstr>
      <vt:lpstr>2015 sumarizácia plánu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</dc:creator>
  <cp:lastModifiedBy>Tajomnik@skdp.sk</cp:lastModifiedBy>
  <cp:lastPrinted>2022-03-17T08:44:30Z</cp:lastPrinted>
  <dcterms:created xsi:type="dcterms:W3CDTF">2014-02-12T09:44:42Z</dcterms:created>
  <dcterms:modified xsi:type="dcterms:W3CDTF">2025-03-03T15:07:18Z</dcterms:modified>
</cp:coreProperties>
</file>